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0" windowWidth="17175" windowHeight="7680" activeTab="2"/>
  </bookViews>
  <sheets>
    <sheet name="сравнение" sheetId="6" r:id="rId1"/>
    <sheet name="штатное 2021" sheetId="5" r:id="rId2"/>
    <sheet name="расходы 2021" sheetId="4" r:id="rId3"/>
    <sheet name="мероприятия на 2021" sheetId="2" r:id="rId4"/>
    <sheet name="мероприятия 2022-2025" sheetId="3" r:id="rId5"/>
  </sheets>
  <definedNames/>
  <calcPr calcId="124519"/>
</workbook>
</file>

<file path=xl/sharedStrings.xml><?xml version="1.0" encoding="utf-8"?>
<sst xmlns="http://schemas.openxmlformats.org/spreadsheetml/2006/main" count="225" uniqueCount="201">
  <si>
    <t>№ п/п</t>
  </si>
  <si>
    <t>ЗАО "ЗапСибТрансТелеком"</t>
  </si>
  <si>
    <t>ЗАО "Авантел"</t>
  </si>
  <si>
    <t xml:space="preserve">ООО "Резон-К"  </t>
  </si>
  <si>
    <t>ОАО "МТС"</t>
  </si>
  <si>
    <t>ООО "Фортуна"</t>
  </si>
  <si>
    <t>ОАО" Ростелеком"</t>
  </si>
  <si>
    <t>ООО "ДомофонНСКПлюс"</t>
  </si>
  <si>
    <t>ООО "Камелот-А"</t>
  </si>
  <si>
    <t xml:space="preserve">Наименование работ </t>
  </si>
  <si>
    <t>Текущий ремонт</t>
  </si>
  <si>
    <t>Ограждение мусорных баков 1 подъезда из профлиста</t>
  </si>
  <si>
    <t>Очистка и промывка стволов мусоропровода, и мусрокамер</t>
  </si>
  <si>
    <t>Замеры изоляции электропроводки</t>
  </si>
  <si>
    <t>Специальная оценка условий труда</t>
  </si>
  <si>
    <t>апрель</t>
  </si>
  <si>
    <t>февраль</t>
  </si>
  <si>
    <t>июнь</t>
  </si>
  <si>
    <t>май</t>
  </si>
  <si>
    <t>август</t>
  </si>
  <si>
    <t>июль</t>
  </si>
  <si>
    <t>октябрь</t>
  </si>
  <si>
    <t>Оценка лифтов</t>
  </si>
  <si>
    <t>Изготовление проектов входных зон 1,2,3 подъездов</t>
  </si>
  <si>
    <t>Изготовление проекта реконструкции  двора с детскими площадками</t>
  </si>
  <si>
    <t>Модернизация системы видионаблюдения</t>
  </si>
  <si>
    <t xml:space="preserve">Ревизия и модернизация системы энергоснабжения </t>
  </si>
  <si>
    <t xml:space="preserve">Замена лифтов </t>
  </si>
  <si>
    <t xml:space="preserve">Наименования работ </t>
  </si>
  <si>
    <t>сроки</t>
  </si>
  <si>
    <t>2023г</t>
  </si>
  <si>
    <t>2022г</t>
  </si>
  <si>
    <t>2024г</t>
  </si>
  <si>
    <t>2025г</t>
  </si>
  <si>
    <t>2023-2025гг</t>
  </si>
  <si>
    <t>ИТОГО текущий ремонт</t>
  </si>
  <si>
    <t>ИТОГО по профилактическим мероприятиям</t>
  </si>
  <si>
    <t xml:space="preserve">ИТОГО по проектным работам </t>
  </si>
  <si>
    <t>ВСЕГО</t>
  </si>
  <si>
    <t>стоимость, руб</t>
  </si>
  <si>
    <t>жилая площадь (вместе пракуратурой), м2</t>
  </si>
  <si>
    <t>оплата на 1 м2 в год, руб за м2</t>
  </si>
  <si>
    <t>Аварийно-диспетчерская служба</t>
  </si>
  <si>
    <t>Техническое обслуживание лифтов</t>
  </si>
  <si>
    <t>Техническое обслуживание автоматической пожарной сигнализации</t>
  </si>
  <si>
    <t xml:space="preserve">Дератизация </t>
  </si>
  <si>
    <t>Информационное соправождение ГИС ЖКХ</t>
  </si>
  <si>
    <t xml:space="preserve">Услуги связи </t>
  </si>
  <si>
    <t>ЭЭ на общедомовые нужды</t>
  </si>
  <si>
    <t>Ремонт пола в лифтах 1,3 подъездов</t>
  </si>
  <si>
    <t>март</t>
  </si>
  <si>
    <t>Страховые взносы ПФР,%</t>
  </si>
  <si>
    <t>Страховые  взносы ФОМС,%</t>
  </si>
  <si>
    <t>Страховые взносы ФСС,%</t>
  </si>
  <si>
    <t>страховые взносы от несчастного случая,%</t>
  </si>
  <si>
    <t xml:space="preserve">Штатное расписание, без налогов </t>
  </si>
  <si>
    <t>руб в месяц</t>
  </si>
  <si>
    <t>руб в год</t>
  </si>
  <si>
    <t>руб на м2</t>
  </si>
  <si>
    <t>Благоустройство двора с устройством детских площадок</t>
  </si>
  <si>
    <t>ИТОГО</t>
  </si>
  <si>
    <t>Разнорабочий</t>
  </si>
  <si>
    <t xml:space="preserve">Техничка </t>
  </si>
  <si>
    <t>Паспортист</t>
  </si>
  <si>
    <t>Бухгалтер</t>
  </si>
  <si>
    <t>Председатель</t>
  </si>
  <si>
    <t>Кол-во штатных единиц</t>
  </si>
  <si>
    <t>Должность</t>
  </si>
  <si>
    <t>Штатное расписание на 2021 год</t>
  </si>
  <si>
    <t>собрании членов ТСЖ "1905 года"</t>
  </si>
  <si>
    <t>Утверждено на Общем</t>
  </si>
  <si>
    <t>ИТОГО по соблюдению ФЗ и других подзаконных актов</t>
  </si>
  <si>
    <t>оплата на 1 м2 в месяц, руб за м2</t>
  </si>
  <si>
    <t>Ремонт пожарных лестниц</t>
  </si>
  <si>
    <t>План работ на 2022-2025гг</t>
  </si>
  <si>
    <t xml:space="preserve">Текущие расходы на ремонт </t>
  </si>
  <si>
    <t>Всего расходы на оплату услуг ТСЖ с учетом сторонних организаций 2021г</t>
  </si>
  <si>
    <t>Жилая площадь (вместе пракуратурой) для взыскания платежей, м2</t>
  </si>
  <si>
    <t>Доходы от предоставления услуг сторонним организациям</t>
  </si>
  <si>
    <t>Дворник</t>
  </si>
  <si>
    <t>Дезинсекция подвала, техэтажа (от муравьев, тараканов) (2 раза)</t>
  </si>
  <si>
    <t>апрель, август</t>
  </si>
  <si>
    <t>ИТОГО  доходы от предоставления услуг сторонним организациям</t>
  </si>
  <si>
    <t>Смета доходов и расходов на 2021 г</t>
  </si>
  <si>
    <t xml:space="preserve">Химия и чистящие средства </t>
  </si>
  <si>
    <t>по ТСЖ "1905 года"</t>
  </si>
  <si>
    <t>Утверждено на общем собрании членов</t>
  </si>
  <si>
    <t xml:space="preserve">Вего доходы от начислений жильцам </t>
  </si>
  <si>
    <t xml:space="preserve">Всего расходы </t>
  </si>
  <si>
    <t>ИТОГО по штатному расписанию</t>
  </si>
  <si>
    <t xml:space="preserve">штатное расписание, без налогов </t>
  </si>
  <si>
    <t>Расходы на оплату труда</t>
  </si>
  <si>
    <t>ИТОГО по прочим расходам</t>
  </si>
  <si>
    <t>ГИС ЖКХ</t>
  </si>
  <si>
    <t>Дезинфекция</t>
  </si>
  <si>
    <t>ТО САРТ</t>
  </si>
  <si>
    <t>ТО Системы АПС</t>
  </si>
  <si>
    <t xml:space="preserve">ТО Узел учета </t>
  </si>
  <si>
    <t>Услуги связи</t>
  </si>
  <si>
    <t xml:space="preserve">Прочие расходы </t>
  </si>
  <si>
    <t xml:space="preserve">экономия </t>
  </si>
  <si>
    <t>ИТОГО расходы по стороним организациям</t>
  </si>
  <si>
    <t>экономи 42 м3</t>
  </si>
  <si>
    <t>СОИ ГВС 15,3м3*114,54 руб за м3</t>
  </si>
  <si>
    <t>экономия 154 м3</t>
  </si>
  <si>
    <t>СОИ ХВС 16,8м3*19,46 руб за м3</t>
  </si>
  <si>
    <t>вывоз ТКО</t>
  </si>
  <si>
    <t xml:space="preserve">домофон </t>
  </si>
  <si>
    <t xml:space="preserve">за обслуживание лифтов </t>
  </si>
  <si>
    <t>разница</t>
  </si>
  <si>
    <t>по договору</t>
  </si>
  <si>
    <t xml:space="preserve">начисление </t>
  </si>
  <si>
    <t>Расходы по стороним организациям</t>
  </si>
  <si>
    <t>жилая пложадь для взыскания,м2</t>
  </si>
  <si>
    <t>Количество квартир , шт</t>
  </si>
  <si>
    <t>Колличество жителей</t>
  </si>
  <si>
    <t>Домофон 1 за домофон</t>
  </si>
  <si>
    <t>Обращение с ТКО на 1 человека</t>
  </si>
  <si>
    <t>Кап ремонт</t>
  </si>
  <si>
    <t>Оплата в сторонние организации</t>
  </si>
  <si>
    <t xml:space="preserve">Вознаграждение председателю </t>
  </si>
  <si>
    <t>Охрана, за м2 жилой площади</t>
  </si>
  <si>
    <t>Улуги банка, процент от суммы начисления</t>
  </si>
  <si>
    <t>Обслуживание лифтов, за м2 жилой площади</t>
  </si>
  <si>
    <t>ЭЭ на содержание общего имущества</t>
  </si>
  <si>
    <t>Отведение сточных вод СОИ</t>
  </si>
  <si>
    <t>ХВ на содержание общего имущества</t>
  </si>
  <si>
    <t>ГВ на содержание общего имущества</t>
  </si>
  <si>
    <t xml:space="preserve">Содержание жилья </t>
  </si>
  <si>
    <t>Оплата ТСЖ (ук)</t>
  </si>
  <si>
    <t>Начисление по ТСЖ</t>
  </si>
  <si>
    <t>ТСЖ "1905 года"</t>
  </si>
  <si>
    <t xml:space="preserve">Наименование услуги </t>
  </si>
  <si>
    <t>№п/п</t>
  </si>
  <si>
    <t>Сравнение цен ТСЖ,УК в железнодорожном районе</t>
  </si>
  <si>
    <t>Тариф ТСЖ 1905 года на 2021 год</t>
  </si>
  <si>
    <t>Услуги банка и ОРС</t>
  </si>
  <si>
    <t>Итого расходы на оплату услуг по содержанию жилья</t>
  </si>
  <si>
    <t>Канцелярия</t>
  </si>
  <si>
    <t>%</t>
  </si>
  <si>
    <t>Итого по тсж (ук)</t>
  </si>
  <si>
    <t>+/- к 2020г</t>
  </si>
  <si>
    <t>Капитальный ремонт</t>
  </si>
  <si>
    <t xml:space="preserve">Расходы на соблюдение ФЗ </t>
  </si>
  <si>
    <t>Расходы на текущий ремонт</t>
  </si>
  <si>
    <t>1. Текущий ремонт</t>
  </si>
  <si>
    <t>Вывоз снега с территории, очистка крыши</t>
  </si>
  <si>
    <t>2.Профилактические мероприятия (за счет доходов ТСЖ от предоставляемых услуг)</t>
  </si>
  <si>
    <t>3.Соблюдение ФЗ и других подзаконных актов</t>
  </si>
  <si>
    <t>4.Проектные работы (при наличии дополнительных средств)</t>
  </si>
  <si>
    <t>5. Капитальный ремонт (за счет средств капремонта)</t>
  </si>
  <si>
    <t xml:space="preserve">СОИ ХВС </t>
  </si>
  <si>
    <t>СОИ ГВС</t>
  </si>
  <si>
    <t>Премиальная оплата труда</t>
  </si>
  <si>
    <t>руб.</t>
  </si>
  <si>
    <t xml:space="preserve">Начисление в месяц, руб </t>
  </si>
  <si>
    <t>Годовой ФОТ, руб</t>
  </si>
  <si>
    <t>Тарифная ставка, руб</t>
  </si>
  <si>
    <t>Районный коэффициент,    руб.</t>
  </si>
  <si>
    <t>Месячный ФОТ, руб</t>
  </si>
  <si>
    <t>Инженер</t>
  </si>
  <si>
    <t>Электрик</t>
  </si>
  <si>
    <t>Сантехник</t>
  </si>
  <si>
    <t xml:space="preserve">ОСК </t>
  </si>
  <si>
    <t>налоги</t>
  </si>
  <si>
    <t>30,2 проц</t>
  </si>
  <si>
    <t>ФОТ инженер, сантехник, электрик</t>
  </si>
  <si>
    <t>ФОТ 2020</t>
  </si>
  <si>
    <t>+/- 20 к 2021</t>
  </si>
  <si>
    <t>Экономия в месяц от работы с ОСК</t>
  </si>
  <si>
    <t xml:space="preserve">Экономия в год </t>
  </si>
  <si>
    <t>экономия на 1 м2  в месяц</t>
  </si>
  <si>
    <t>2020 год</t>
  </si>
  <si>
    <t>Итого расходы ФОТ +  налоги инж, сант, эл</t>
  </si>
  <si>
    <t>Снижение к предыдущему варианту штатного расписания</t>
  </si>
  <si>
    <t>Ремонт ступеней 1,2,3 подъезды, смена покрытия</t>
  </si>
  <si>
    <t>Ремонт подъездов и лестничных маршей</t>
  </si>
  <si>
    <t>Комплексный ремонт входных зон 1,2,3 подъездов</t>
  </si>
  <si>
    <t>Страховые взносы от несчастного случая,%</t>
  </si>
  <si>
    <t>Техническое обслуживание узла учета и САРТ</t>
  </si>
  <si>
    <t>Техническое обслуживание домофонов и видеонаблюдения, за 1 шт</t>
  </si>
  <si>
    <t>ТСЖ "Железнодорожное " ул. Ленина д.94</t>
  </si>
  <si>
    <t xml:space="preserve">ООО "ЭКО плюс" ул. 1905года д.17/2 </t>
  </si>
  <si>
    <t>"30"_марта_2021 г</t>
  </si>
  <si>
    <t>Факт</t>
  </si>
  <si>
    <t>ООО "ПартнерПлюс"</t>
  </si>
  <si>
    <t>ФАКТ</t>
  </si>
  <si>
    <t>Ремонт стен лестничного марша 1 подъезда (1-3 этажи), 200 м2</t>
  </si>
  <si>
    <t xml:space="preserve">Ремонт кровли 3 подЪезда 400 м2 </t>
  </si>
  <si>
    <t>Гидроизоляция подвала 1,3 подЪезда</t>
  </si>
  <si>
    <t>Итого по капитальному ремонту</t>
  </si>
  <si>
    <t>Мероприятия на 2021 год-выполнение</t>
  </si>
  <si>
    <t>Срок</t>
  </si>
  <si>
    <t>Ревизия и замена морально устаревшах деталей на вводе в щитке ЭЭ</t>
  </si>
  <si>
    <t>Шлифовка полов в коридорах и ступеней лестничных маршей (100 м2)</t>
  </si>
  <si>
    <t>Расходы на содержание дома на 2021 год- выполнение</t>
  </si>
  <si>
    <t>Вывоз ТКО на 1 человека/по дому</t>
  </si>
  <si>
    <t xml:space="preserve"> ТСЖ "1905 года" 30 марта 2021г</t>
  </si>
  <si>
    <t>ООО "Новотелеком" Оплачено 24600 рублей 15.02.2022г.</t>
  </si>
  <si>
    <t>Опл.2022г</t>
  </si>
  <si>
    <t>ИП Демин Ю.А. Оплачено 8100 рублей в 2022 году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</si>
</sst>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C00000"/>
      <name val="Arial Cyr"/>
      <family val="2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2" fillId="0" borderId="0">
      <alignment/>
      <protection/>
    </xf>
  </cellStyleXfs>
  <cellXfs count="88">
    <xf numFmtId="0" fontId="0" fillId="0" borderId="0" xfId="0"/>
    <xf numFmtId="0" fontId="6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4" fillId="0" borderId="1" xfId="0" applyFont="1" applyBorder="1"/>
    <xf numFmtId="165" fontId="0" fillId="0" borderId="0" xfId="0" applyNumberFormat="1"/>
    <xf numFmtId="0" fontId="2" fillId="0" borderId="0" xfId="22">
      <alignment/>
      <protection/>
    </xf>
    <xf numFmtId="0" fontId="7" fillId="0" borderId="0" xfId="22" applyFont="1">
      <alignment/>
      <protection/>
    </xf>
    <xf numFmtId="3" fontId="7" fillId="0" borderId="1" xfId="22" applyNumberFormat="1" applyFont="1" applyBorder="1" applyAlignment="1">
      <alignment horizontal="right"/>
      <protection/>
    </xf>
    <xf numFmtId="3" fontId="7" fillId="0" borderId="1" xfId="22" applyNumberFormat="1" applyFont="1" applyBorder="1">
      <alignment/>
      <protection/>
    </xf>
    <xf numFmtId="3" fontId="7" fillId="0" borderId="1" xfId="22" applyNumberFormat="1" applyFont="1" applyBorder="1" applyAlignment="1">
      <alignment horizontal="center"/>
      <protection/>
    </xf>
    <xf numFmtId="2" fontId="7" fillId="0" borderId="1" xfId="22" applyNumberFormat="1" applyFont="1" applyBorder="1" applyAlignment="1">
      <alignment horizontal="center"/>
      <protection/>
    </xf>
    <xf numFmtId="0" fontId="8" fillId="0" borderId="1" xfId="22" applyFont="1" applyBorder="1">
      <alignment/>
      <protection/>
    </xf>
    <xf numFmtId="0" fontId="7" fillId="0" borderId="1" xfId="22" applyFont="1" applyBorder="1" applyAlignment="1">
      <alignment horizontal="center"/>
      <protection/>
    </xf>
    <xf numFmtId="0" fontId="8" fillId="0" borderId="1" xfId="22" applyFont="1" applyBorder="1" applyAlignment="1">
      <alignment horizontal="left"/>
      <protection/>
    </xf>
    <xf numFmtId="165" fontId="7" fillId="0" borderId="1" xfId="22" applyNumberFormat="1" applyFont="1" applyBorder="1" applyAlignment="1">
      <alignment horizontal="center"/>
      <protection/>
    </xf>
    <xf numFmtId="0" fontId="8" fillId="0" borderId="2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wrapText="1"/>
    </xf>
    <xf numFmtId="2" fontId="0" fillId="0" borderId="1" xfId="0" applyNumberFormat="1" applyBorder="1"/>
    <xf numFmtId="3" fontId="0" fillId="0" borderId="1" xfId="0" applyNumberFormat="1" applyBorder="1"/>
    <xf numFmtId="9" fontId="0" fillId="0" borderId="1" xfId="0" applyNumberFormat="1" applyBorder="1"/>
    <xf numFmtId="1" fontId="0" fillId="0" borderId="1" xfId="0" applyNumberFormat="1" applyBorder="1"/>
    <xf numFmtId="2" fontId="5" fillId="0" borderId="1" xfId="0" applyNumberFormat="1" applyFont="1" applyBorder="1"/>
    <xf numFmtId="165" fontId="0" fillId="0" borderId="1" xfId="0" applyNumberFormat="1" applyBorder="1"/>
    <xf numFmtId="2" fontId="11" fillId="0" borderId="1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0" fontId="3" fillId="0" borderId="1" xfId="22" applyFont="1" applyBorder="1" applyAlignment="1">
      <alignment horizontal="center" vertical="top" wrapText="1"/>
      <protection/>
    </xf>
    <xf numFmtId="0" fontId="8" fillId="0" borderId="0" xfId="22" applyFont="1" applyAlignment="1">
      <alignment horizontal="center"/>
      <protection/>
    </xf>
    <xf numFmtId="0" fontId="4" fillId="0" borderId="0" xfId="0" applyFont="1"/>
    <xf numFmtId="9" fontId="0" fillId="0" borderId="0" xfId="0" applyNumberFormat="1"/>
    <xf numFmtId="0" fontId="0" fillId="0" borderId="0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ont="1" applyFill="1" applyBorder="1"/>
    <xf numFmtId="0" fontId="0" fillId="0" borderId="0" xfId="0" applyFill="1" applyBorder="1"/>
    <xf numFmtId="2" fontId="4" fillId="0" borderId="1" xfId="0" applyNumberFormat="1" applyFont="1" applyBorder="1"/>
    <xf numFmtId="0" fontId="0" fillId="0" borderId="1" xfId="0" applyFill="1" applyBorder="1" applyAlignment="1">
      <alignment wrapText="1"/>
    </xf>
    <xf numFmtId="165" fontId="5" fillId="2" borderId="1" xfId="0" applyNumberFormat="1" applyFont="1" applyFill="1" applyBorder="1"/>
    <xf numFmtId="165" fontId="5" fillId="0" borderId="1" xfId="0" applyNumberFormat="1" applyFont="1" applyBorder="1"/>
    <xf numFmtId="0" fontId="0" fillId="0" borderId="1" xfId="0" applyFill="1" applyBorder="1"/>
    <xf numFmtId="49" fontId="0" fillId="0" borderId="1" xfId="0" applyNumberFormat="1" applyBorder="1"/>
    <xf numFmtId="2" fontId="0" fillId="0" borderId="1" xfId="0" applyNumberFormat="1" applyFill="1" applyBorder="1"/>
    <xf numFmtId="0" fontId="0" fillId="0" borderId="1" xfId="0" applyFont="1" applyBorder="1"/>
    <xf numFmtId="165" fontId="12" fillId="0" borderId="1" xfId="0" applyNumberFormat="1" applyFont="1" applyBorder="1"/>
    <xf numFmtId="3" fontId="7" fillId="0" borderId="0" xfId="22" applyNumberFormat="1" applyFont="1">
      <alignment/>
      <protection/>
    </xf>
    <xf numFmtId="0" fontId="8" fillId="0" borderId="0" xfId="0" applyFont="1" applyBorder="1"/>
    <xf numFmtId="165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13" fillId="0" borderId="0" xfId="22" applyNumberFormat="1" applyFont="1">
      <alignment/>
      <protection/>
    </xf>
    <xf numFmtId="0" fontId="0" fillId="0" borderId="3" xfId="0" applyFill="1" applyBorder="1"/>
    <xf numFmtId="2" fontId="11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0" fontId="7" fillId="0" borderId="0" xfId="22" applyNumberFormat="1" applyFont="1" applyAlignment="1">
      <alignment horizontal="center" wrapText="1"/>
      <protection/>
    </xf>
    <xf numFmtId="49" fontId="7" fillId="0" borderId="0" xfId="22" applyNumberFormat="1" applyFont="1" applyAlignment="1">
      <alignment horizontal="center" wrapText="1"/>
      <protection/>
    </xf>
    <xf numFmtId="0" fontId="3" fillId="0" borderId="1" xfId="22" applyFont="1" applyBorder="1" applyAlignment="1">
      <alignment horizontal="center" vertical="top" wrapText="1"/>
      <protection/>
    </xf>
    <xf numFmtId="0" fontId="8" fillId="0" borderId="0" xfId="22" applyFont="1" applyAlignment="1">
      <alignment horizontal="center"/>
      <protection/>
    </xf>
    <xf numFmtId="0" fontId="7" fillId="0" borderId="6" xfId="22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3" fillId="0" borderId="7" xfId="22" applyFont="1" applyBorder="1" applyAlignment="1">
      <alignment horizontal="center" vertical="top" wrapText="1"/>
      <protection/>
    </xf>
    <xf numFmtId="0" fontId="3" fillId="0" borderId="8" xfId="22" applyFont="1" applyBorder="1" applyAlignment="1">
      <alignment horizontal="center" vertical="top" wrapText="1"/>
      <protection/>
    </xf>
    <xf numFmtId="0" fontId="3" fillId="0" borderId="4" xfId="22" applyFont="1" applyBorder="1" applyAlignment="1">
      <alignment horizontal="center" vertical="top" wrapText="1"/>
      <protection/>
    </xf>
    <xf numFmtId="0" fontId="3" fillId="0" borderId="9" xfId="22" applyFont="1" applyBorder="1" applyAlignment="1">
      <alignment horizontal="center" vertical="top" wrapText="1"/>
      <protection/>
    </xf>
    <xf numFmtId="0" fontId="3" fillId="0" borderId="6" xfId="22" applyFont="1" applyBorder="1" applyAlignment="1">
      <alignment horizontal="center" vertical="top" wrapText="1"/>
      <protection/>
    </xf>
    <xf numFmtId="0" fontId="3" fillId="0" borderId="3" xfId="22" applyFont="1" applyBorder="1" applyAlignment="1">
      <alignment horizontal="center" vertical="top" wrapText="1"/>
      <protection/>
    </xf>
    <xf numFmtId="0" fontId="3" fillId="0" borderId="2" xfId="22" applyFont="1" applyBorder="1" applyAlignment="1">
      <alignment horizontal="center" vertical="top" wrapText="1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  <cellStyle name="Обычный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16">
      <selection activeCell="H14" sqref="H14"/>
    </sheetView>
  </sheetViews>
  <sheetFormatPr defaultColWidth="9.140625" defaultRowHeight="15"/>
  <cols>
    <col min="1" max="1" width="6.140625" style="0" customWidth="1"/>
    <col min="2" max="2" width="45.57421875" style="0" customWidth="1"/>
    <col min="3" max="3" width="17.28125" style="0" customWidth="1"/>
    <col min="4" max="4" width="15.421875" style="0" customWidth="1"/>
    <col min="5" max="5" width="10.8515625" style="0" customWidth="1"/>
    <col min="6" max="6" width="16.421875" style="0" hidden="1" customWidth="1"/>
    <col min="7" max="7" width="12.00390625" style="0" customWidth="1"/>
    <col min="8" max="8" width="11.140625" style="0" customWidth="1"/>
  </cols>
  <sheetData>
    <row r="1" spans="1:8" ht="15">
      <c r="A1" s="71" t="s">
        <v>134</v>
      </c>
      <c r="B1" s="72"/>
      <c r="C1" s="72"/>
      <c r="D1" s="72"/>
      <c r="E1" s="72"/>
      <c r="F1" s="72"/>
      <c r="G1" s="72"/>
      <c r="H1" s="72"/>
    </row>
    <row r="2" spans="1:8" ht="46.5" customHeight="1">
      <c r="A2" s="2" t="s">
        <v>133</v>
      </c>
      <c r="B2" s="4" t="s">
        <v>132</v>
      </c>
      <c r="C2" s="2" t="s">
        <v>182</v>
      </c>
      <c r="D2" s="2" t="s">
        <v>181</v>
      </c>
      <c r="E2" s="2" t="s">
        <v>131</v>
      </c>
      <c r="F2" s="47" t="s">
        <v>130</v>
      </c>
      <c r="G2" s="47" t="s">
        <v>135</v>
      </c>
      <c r="H2" s="51" t="s">
        <v>141</v>
      </c>
    </row>
    <row r="3" spans="1:8" ht="15">
      <c r="A3" s="4"/>
      <c r="B3" s="4" t="s">
        <v>129</v>
      </c>
      <c r="C3" s="4"/>
      <c r="D3" s="4"/>
      <c r="E3" s="4"/>
      <c r="F3" s="4"/>
      <c r="G3" s="4"/>
      <c r="H3" s="4"/>
    </row>
    <row r="4" spans="1:8" ht="15">
      <c r="A4" s="4">
        <v>1</v>
      </c>
      <c r="B4" s="4" t="s">
        <v>128</v>
      </c>
      <c r="C4" s="28">
        <v>14.59</v>
      </c>
      <c r="D4" s="28">
        <v>27.52</v>
      </c>
      <c r="E4" s="28">
        <v>19</v>
      </c>
      <c r="F4" s="28">
        <f>E4*$C23</f>
        <v>162533.98</v>
      </c>
      <c r="G4" s="52">
        <v>22.5</v>
      </c>
      <c r="H4" s="54">
        <f aca="true" t="shared" si="0" ref="H4:H14">G4-E4</f>
        <v>3.5</v>
      </c>
    </row>
    <row r="5" spans="1:8" ht="15">
      <c r="A5" s="4">
        <v>2</v>
      </c>
      <c r="B5" s="4" t="s">
        <v>127</v>
      </c>
      <c r="C5" s="28">
        <v>0.402</v>
      </c>
      <c r="D5" s="28">
        <v>0.03</v>
      </c>
      <c r="E5" s="28">
        <v>0.77</v>
      </c>
      <c r="F5" s="28">
        <f>E5*C23</f>
        <v>6586.9034</v>
      </c>
      <c r="G5" s="52">
        <v>1</v>
      </c>
      <c r="H5" s="33">
        <f t="shared" si="0"/>
        <v>0.22999999999999998</v>
      </c>
    </row>
    <row r="6" spans="1:8" ht="15">
      <c r="A6" s="4">
        <v>3</v>
      </c>
      <c r="B6" s="4" t="s">
        <v>126</v>
      </c>
      <c r="C6" s="28">
        <v>0.075</v>
      </c>
      <c r="D6" s="28">
        <v>0.03</v>
      </c>
      <c r="E6" s="28">
        <v>0.39</v>
      </c>
      <c r="F6" s="28">
        <f>E6*C23</f>
        <v>3336.2238</v>
      </c>
      <c r="G6" s="52">
        <v>0.4</v>
      </c>
      <c r="H6" s="33">
        <f t="shared" si="0"/>
        <v>0.010000000000000009</v>
      </c>
    </row>
    <row r="7" spans="1:8" ht="15">
      <c r="A7" s="4">
        <v>4</v>
      </c>
      <c r="B7" s="4" t="s">
        <v>125</v>
      </c>
      <c r="C7" s="28">
        <v>0.11</v>
      </c>
      <c r="D7" s="28">
        <v>0</v>
      </c>
      <c r="E7" s="28">
        <v>0</v>
      </c>
      <c r="F7" s="28"/>
      <c r="G7" s="52">
        <v>0</v>
      </c>
      <c r="H7" s="33">
        <f t="shared" si="0"/>
        <v>0</v>
      </c>
    </row>
    <row r="8" spans="1:8" ht="15">
      <c r="A8" s="4">
        <v>5</v>
      </c>
      <c r="B8" s="4" t="s">
        <v>124</v>
      </c>
      <c r="C8" s="28">
        <v>1.35</v>
      </c>
      <c r="D8" s="28">
        <v>1.52</v>
      </c>
      <c r="E8" s="28">
        <v>1.09</v>
      </c>
      <c r="F8" s="28">
        <f>E8*C23</f>
        <v>9324.3178</v>
      </c>
      <c r="G8" s="52">
        <v>1.3</v>
      </c>
      <c r="H8" s="33">
        <f t="shared" si="0"/>
        <v>0.20999999999999996</v>
      </c>
    </row>
    <row r="9" spans="1:8" ht="15">
      <c r="A9" s="4">
        <v>6</v>
      </c>
      <c r="B9" s="4" t="s">
        <v>10</v>
      </c>
      <c r="C9" s="28">
        <v>5.92</v>
      </c>
      <c r="D9" s="28">
        <v>1</v>
      </c>
      <c r="E9" s="28">
        <v>0.5</v>
      </c>
      <c r="F9" s="28">
        <f>E9*C23</f>
        <v>4277.21</v>
      </c>
      <c r="G9" s="52">
        <v>1.7</v>
      </c>
      <c r="H9" s="33">
        <f t="shared" si="0"/>
        <v>1.2</v>
      </c>
    </row>
    <row r="10" spans="1:8" ht="15">
      <c r="A10" s="4">
        <v>7</v>
      </c>
      <c r="B10" s="4" t="s">
        <v>123</v>
      </c>
      <c r="C10" s="28">
        <v>2</v>
      </c>
      <c r="D10" s="28">
        <v>1.91</v>
      </c>
      <c r="E10" s="28">
        <v>1.5</v>
      </c>
      <c r="F10" s="28">
        <f>E10*C23</f>
        <v>12831.630000000001</v>
      </c>
      <c r="G10" s="52">
        <v>1.2</v>
      </c>
      <c r="H10" s="33">
        <f t="shared" si="0"/>
        <v>-0.30000000000000004</v>
      </c>
    </row>
    <row r="11" spans="1:8" ht="15">
      <c r="A11" s="4">
        <v>8</v>
      </c>
      <c r="B11" s="4" t="s">
        <v>122</v>
      </c>
      <c r="C11" s="28">
        <f>(SUM(C4:C10))*0.025</f>
        <v>0.6111749999999999</v>
      </c>
      <c r="D11" s="28">
        <f>(SUM(D4:D10))*0.025</f>
        <v>0.80025</v>
      </c>
      <c r="E11" s="28">
        <f>(SUM(E4:E10))*0.025</f>
        <v>0.58125</v>
      </c>
      <c r="F11" s="28">
        <f>(SUM(F4:F10))*0.025</f>
        <v>4972.256625000001</v>
      </c>
      <c r="G11" s="28">
        <v>0.67</v>
      </c>
      <c r="H11" s="33">
        <f t="shared" si="0"/>
        <v>0.08875</v>
      </c>
    </row>
    <row r="12" spans="1:8" ht="15">
      <c r="A12" s="4">
        <v>9</v>
      </c>
      <c r="B12" s="4" t="s">
        <v>121</v>
      </c>
      <c r="C12" s="28">
        <v>0</v>
      </c>
      <c r="D12" s="28">
        <v>5.95</v>
      </c>
      <c r="E12" s="28">
        <v>0</v>
      </c>
      <c r="F12" s="28"/>
      <c r="G12" s="52">
        <v>0</v>
      </c>
      <c r="H12" s="33">
        <f t="shared" si="0"/>
        <v>0</v>
      </c>
    </row>
    <row r="13" spans="1:8" ht="15">
      <c r="A13" s="4">
        <v>10</v>
      </c>
      <c r="B13" s="4" t="s">
        <v>120</v>
      </c>
      <c r="C13" s="28">
        <v>0.62</v>
      </c>
      <c r="D13" s="28">
        <v>0</v>
      </c>
      <c r="E13" s="28">
        <v>0</v>
      </c>
      <c r="F13" s="28"/>
      <c r="G13" s="52">
        <v>0</v>
      </c>
      <c r="H13" s="33">
        <f t="shared" si="0"/>
        <v>0</v>
      </c>
    </row>
    <row r="14" spans="1:8" ht="15">
      <c r="A14" s="4"/>
      <c r="B14" s="6" t="s">
        <v>140</v>
      </c>
      <c r="C14" s="46">
        <f>SUM(C4:C13)</f>
        <v>25.678174999999996</v>
      </c>
      <c r="D14" s="46">
        <f>SUM(D4:D13)</f>
        <v>38.76025</v>
      </c>
      <c r="E14" s="46">
        <f>SUM(E4:E13)</f>
        <v>23.83125</v>
      </c>
      <c r="F14" s="46">
        <f>SUM(F4:F10)</f>
        <v>198890.265</v>
      </c>
      <c r="G14" s="46">
        <f>SUM(G4:G13)</f>
        <v>28.77</v>
      </c>
      <c r="H14" s="54">
        <f t="shared" si="0"/>
        <v>4.938749999999999</v>
      </c>
    </row>
    <row r="15" spans="1:8" ht="15">
      <c r="A15" s="4"/>
      <c r="B15" s="4"/>
      <c r="C15" s="4"/>
      <c r="D15" s="4"/>
      <c r="E15" s="4"/>
      <c r="F15" s="4"/>
      <c r="G15" s="4"/>
      <c r="H15" s="33"/>
    </row>
    <row r="16" spans="1:8" ht="15">
      <c r="A16" s="4"/>
      <c r="B16" s="4" t="s">
        <v>119</v>
      </c>
      <c r="C16" s="4"/>
      <c r="D16" s="4"/>
      <c r="E16" s="4"/>
      <c r="F16" s="4"/>
      <c r="G16" s="4"/>
      <c r="H16" s="33"/>
    </row>
    <row r="17" spans="1:8" ht="15">
      <c r="A17" s="4">
        <v>1</v>
      </c>
      <c r="B17" s="4" t="s">
        <v>118</v>
      </c>
      <c r="C17" s="4">
        <v>7.72</v>
      </c>
      <c r="D17" s="4">
        <v>7.72</v>
      </c>
      <c r="E17" s="4">
        <v>7.72</v>
      </c>
      <c r="F17" s="4"/>
      <c r="G17" s="50">
        <v>7.72</v>
      </c>
      <c r="H17" s="33"/>
    </row>
    <row r="18" spans="1:8" ht="15">
      <c r="A18" s="4">
        <v>2</v>
      </c>
      <c r="B18" s="4" t="s">
        <v>117</v>
      </c>
      <c r="C18" s="4">
        <v>59.88</v>
      </c>
      <c r="D18" s="4">
        <v>59.88</v>
      </c>
      <c r="E18" s="4">
        <v>59.88</v>
      </c>
      <c r="F18" s="4">
        <f>E18*C21</f>
        <v>14970</v>
      </c>
      <c r="G18" s="50">
        <v>84</v>
      </c>
      <c r="H18" s="33"/>
    </row>
    <row r="19" spans="1:8" ht="15">
      <c r="A19" s="4">
        <v>3</v>
      </c>
      <c r="B19" s="4" t="s">
        <v>116</v>
      </c>
      <c r="C19" s="4"/>
      <c r="D19" s="4">
        <v>50</v>
      </c>
      <c r="E19" s="4">
        <v>45</v>
      </c>
      <c r="F19" s="4">
        <f>E19*C22</f>
        <v>5085</v>
      </c>
      <c r="G19" s="4">
        <v>45</v>
      </c>
      <c r="H19" s="33"/>
    </row>
    <row r="20" spans="1:5" ht="14.25" customHeight="1">
      <c r="A20" s="26"/>
      <c r="B20" s="26"/>
      <c r="C20" s="26"/>
      <c r="D20" s="26"/>
      <c r="E20" s="26"/>
    </row>
    <row r="21" spans="1:5" ht="15" hidden="1">
      <c r="A21" s="26"/>
      <c r="B21" s="45" t="s">
        <v>115</v>
      </c>
      <c r="C21" s="26">
        <v>250</v>
      </c>
      <c r="D21" s="26"/>
      <c r="E21" s="26"/>
    </row>
    <row r="22" spans="1:5" ht="15" hidden="1">
      <c r="A22" s="26"/>
      <c r="B22" s="26" t="s">
        <v>114</v>
      </c>
      <c r="C22" s="26">
        <v>113</v>
      </c>
      <c r="D22" s="26"/>
      <c r="E22" s="26"/>
    </row>
    <row r="23" spans="1:5" ht="15" hidden="1">
      <c r="A23" s="26"/>
      <c r="B23" s="26" t="s">
        <v>113</v>
      </c>
      <c r="C23" s="26">
        <v>8554.42</v>
      </c>
      <c r="D23" s="26"/>
      <c r="E23" s="26"/>
    </row>
    <row r="24" ht="15" hidden="1"/>
    <row r="25" spans="2:5" ht="15" hidden="1">
      <c r="B25" s="39" t="s">
        <v>112</v>
      </c>
      <c r="C25" t="s">
        <v>111</v>
      </c>
      <c r="D25" t="s">
        <v>110</v>
      </c>
      <c r="E25" t="s">
        <v>109</v>
      </c>
    </row>
    <row r="26" spans="2:5" ht="15" hidden="1">
      <c r="B26" t="s">
        <v>108</v>
      </c>
      <c r="C26">
        <f>E10*C23</f>
        <v>12831.630000000001</v>
      </c>
      <c r="D26">
        <v>11013</v>
      </c>
      <c r="E26">
        <f>C26-D26</f>
        <v>1818.630000000001</v>
      </c>
    </row>
    <row r="27" spans="2:5" ht="15" hidden="1">
      <c r="B27" t="s">
        <v>107</v>
      </c>
      <c r="C27">
        <f>E19*C22</f>
        <v>5085</v>
      </c>
      <c r="D27">
        <v>5215</v>
      </c>
      <c r="E27">
        <f>C27-D27</f>
        <v>-130</v>
      </c>
    </row>
    <row r="28" spans="2:5" ht="15" hidden="1">
      <c r="B28" t="s">
        <v>106</v>
      </c>
      <c r="C28">
        <f>C21*E18</f>
        <v>14970</v>
      </c>
      <c r="D28">
        <v>15000</v>
      </c>
      <c r="E28">
        <f>C28-D28</f>
        <v>-30</v>
      </c>
    </row>
    <row r="29" spans="2:6" ht="15" hidden="1">
      <c r="B29" t="s">
        <v>105</v>
      </c>
      <c r="C29">
        <f>E6*C23</f>
        <v>3336.2238</v>
      </c>
      <c r="D29">
        <f>16.8*19.46</f>
        <v>326.92800000000005</v>
      </c>
      <c r="E29">
        <f>C29-D29</f>
        <v>3009.2958000000003</v>
      </c>
      <c r="F29" t="s">
        <v>104</v>
      </c>
    </row>
    <row r="30" spans="2:6" ht="15" hidden="1">
      <c r="B30" t="s">
        <v>103</v>
      </c>
      <c r="C30">
        <f>E5*C23</f>
        <v>6586.9034</v>
      </c>
      <c r="D30">
        <f>15.3*114.54</f>
        <v>1752.4620000000002</v>
      </c>
      <c r="E30">
        <f>C30-D30</f>
        <v>4834.4414</v>
      </c>
      <c r="F30" t="s">
        <v>102</v>
      </c>
    </row>
    <row r="31" ht="15" hidden="1"/>
    <row r="32" spans="2:6" ht="15" hidden="1">
      <c r="B32" s="39" t="s">
        <v>101</v>
      </c>
      <c r="C32" s="39">
        <f>SUM(C26:C30)</f>
        <v>42809.75720000001</v>
      </c>
      <c r="D32" s="39">
        <f>SUM(D26:D30)</f>
        <v>33307.39</v>
      </c>
      <c r="E32">
        <f>C32-D32</f>
        <v>9502.367200000008</v>
      </c>
      <c r="F32" t="s">
        <v>100</v>
      </c>
    </row>
    <row r="33" ht="15" hidden="1"/>
    <row r="34" ht="15" hidden="1">
      <c r="B34" s="39" t="s">
        <v>99</v>
      </c>
    </row>
    <row r="35" spans="2:4" ht="15" hidden="1">
      <c r="B35" s="41" t="s">
        <v>98</v>
      </c>
      <c r="C35" s="41"/>
      <c r="D35">
        <v>1000</v>
      </c>
    </row>
    <row r="36" spans="2:4" ht="15" hidden="1">
      <c r="B36" s="41" t="s">
        <v>97</v>
      </c>
      <c r="D36" s="41">
        <v>2500</v>
      </c>
    </row>
    <row r="37" spans="2:4" ht="15" hidden="1">
      <c r="B37" s="41" t="s">
        <v>96</v>
      </c>
      <c r="D37" s="41">
        <v>8100</v>
      </c>
    </row>
    <row r="38" spans="2:4" ht="15" hidden="1">
      <c r="B38" s="41" t="s">
        <v>95</v>
      </c>
      <c r="D38" s="41">
        <v>4000</v>
      </c>
    </row>
    <row r="39" spans="2:4" ht="15" hidden="1">
      <c r="B39" s="41" t="s">
        <v>42</v>
      </c>
      <c r="D39" s="41">
        <v>23000</v>
      </c>
    </row>
    <row r="40" spans="2:4" ht="15" hidden="1">
      <c r="B40" s="41" t="s">
        <v>94</v>
      </c>
      <c r="D40" s="41">
        <v>1200</v>
      </c>
    </row>
    <row r="41" spans="2:4" ht="15" hidden="1">
      <c r="B41" s="44" t="s">
        <v>93</v>
      </c>
      <c r="D41" s="44">
        <v>1500</v>
      </c>
    </row>
    <row r="42" spans="2:4" ht="15" hidden="1">
      <c r="B42" s="42" t="s">
        <v>92</v>
      </c>
      <c r="C42" s="39"/>
      <c r="D42" s="43">
        <f>SUM(D35:D41)</f>
        <v>41300</v>
      </c>
    </row>
    <row r="43" spans="2:4" ht="15" hidden="1">
      <c r="B43" s="42"/>
      <c r="C43" s="39"/>
      <c r="D43" s="43"/>
    </row>
    <row r="44" spans="2:3" ht="15" hidden="1">
      <c r="B44" s="42" t="s">
        <v>91</v>
      </c>
      <c r="C44" s="41"/>
    </row>
    <row r="45" spans="2:4" ht="15" hidden="1">
      <c r="B45" t="s">
        <v>90</v>
      </c>
      <c r="D45">
        <v>105044</v>
      </c>
    </row>
    <row r="46" spans="2:4" ht="15" hidden="1">
      <c r="B46" s="40" t="s">
        <v>51</v>
      </c>
      <c r="C46">
        <v>22</v>
      </c>
      <c r="D46">
        <f>D45*0.22</f>
        <v>23109.68</v>
      </c>
    </row>
    <row r="47" spans="2:4" ht="15" hidden="1">
      <c r="B47" t="s">
        <v>52</v>
      </c>
      <c r="C47">
        <v>5.1</v>
      </c>
      <c r="D47">
        <f>D45*0.051</f>
        <v>5357.244</v>
      </c>
    </row>
    <row r="48" spans="2:4" ht="15" hidden="1">
      <c r="B48" t="s">
        <v>53</v>
      </c>
      <c r="C48">
        <v>2.9</v>
      </c>
      <c r="D48">
        <f>D45*C48%</f>
        <v>3046.276</v>
      </c>
    </row>
    <row r="49" spans="2:4" ht="15" hidden="1">
      <c r="B49" t="s">
        <v>54</v>
      </c>
      <c r="C49">
        <v>0.2</v>
      </c>
      <c r="D49">
        <f>D45*C49%</f>
        <v>210.088</v>
      </c>
    </row>
    <row r="50" spans="2:4" ht="15" hidden="1">
      <c r="B50" s="39" t="s">
        <v>89</v>
      </c>
      <c r="C50" s="39"/>
      <c r="D50" s="39">
        <f>SUM(D45:D49)</f>
        <v>136767.288</v>
      </c>
    </row>
    <row r="51" ht="15" hidden="1"/>
    <row r="52" spans="2:4" ht="15" hidden="1">
      <c r="B52" t="s">
        <v>88</v>
      </c>
      <c r="D52">
        <f>D32+D42+D50</f>
        <v>211374.678</v>
      </c>
    </row>
    <row r="53" spans="2:4" ht="15" hidden="1">
      <c r="B53" t="s">
        <v>87</v>
      </c>
      <c r="D53">
        <f>SUM(F4:F19)</f>
        <v>422807.78662500007</v>
      </c>
    </row>
  </sheetData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workbookViewId="0" topLeftCell="A13">
      <selection activeCell="E3" sqref="E3"/>
    </sheetView>
  </sheetViews>
  <sheetFormatPr defaultColWidth="9.140625" defaultRowHeight="15"/>
  <cols>
    <col min="1" max="1" width="9.140625" style="8" customWidth="1"/>
    <col min="2" max="2" width="24.421875" style="8" customWidth="1"/>
    <col min="3" max="3" width="9.140625" style="8" customWidth="1"/>
    <col min="4" max="4" width="11.8515625" style="8" bestFit="1" customWidth="1"/>
    <col min="5" max="5" width="15.00390625" style="8" customWidth="1"/>
    <col min="6" max="6" width="12.421875" style="8" customWidth="1"/>
    <col min="7" max="7" width="10.140625" style="8" customWidth="1"/>
    <col min="8" max="9" width="11.421875" style="8" customWidth="1"/>
    <col min="10" max="10" width="12.28125" style="8" customWidth="1"/>
    <col min="11" max="11" width="9.140625" style="8" hidden="1" customWidth="1"/>
    <col min="12" max="13" width="9.140625" style="8" customWidth="1"/>
    <col min="14" max="15" width="9.7109375" style="8" bestFit="1" customWidth="1"/>
    <col min="16" max="16384" width="9.140625" style="8" customWidth="1"/>
  </cols>
  <sheetData>
    <row r="1" ht="15">
      <c r="E1" s="9" t="s">
        <v>70</v>
      </c>
    </row>
    <row r="2" ht="15">
      <c r="E2" s="9" t="s">
        <v>69</v>
      </c>
    </row>
    <row r="3" spans="5:9" ht="15">
      <c r="E3" s="9" t="s">
        <v>183</v>
      </c>
      <c r="F3" s="9"/>
      <c r="G3" s="9"/>
      <c r="H3" s="9"/>
      <c r="I3" s="9"/>
    </row>
    <row r="5" spans="2:10" ht="18">
      <c r="B5" s="76" t="s">
        <v>68</v>
      </c>
      <c r="C5" s="76"/>
      <c r="D5" s="76"/>
      <c r="E5" s="76"/>
      <c r="F5" s="76"/>
      <c r="G5" s="38"/>
      <c r="H5" s="38"/>
      <c r="I5" s="38"/>
      <c r="J5" s="20"/>
    </row>
    <row r="6" spans="2:10" ht="15">
      <c r="B6" s="9"/>
      <c r="C6" s="9"/>
      <c r="D6" s="9"/>
      <c r="E6" s="9"/>
      <c r="F6" s="9"/>
      <c r="G6" s="9"/>
      <c r="H6" s="9"/>
      <c r="I6" s="9"/>
      <c r="J6" s="9"/>
    </row>
    <row r="7" spans="1:15" ht="15" customHeight="1">
      <c r="A7" s="77" t="s">
        <v>0</v>
      </c>
      <c r="B7" s="77" t="s">
        <v>67</v>
      </c>
      <c r="C7" s="75" t="s">
        <v>66</v>
      </c>
      <c r="D7" s="75" t="s">
        <v>157</v>
      </c>
      <c r="E7" s="75" t="s">
        <v>158</v>
      </c>
      <c r="F7" s="75" t="s">
        <v>155</v>
      </c>
      <c r="G7" s="79" t="s">
        <v>153</v>
      </c>
      <c r="H7" s="80"/>
      <c r="I7" s="83" t="s">
        <v>159</v>
      </c>
      <c r="J7" s="75" t="s">
        <v>156</v>
      </c>
      <c r="K7" s="9"/>
      <c r="L7" s="9"/>
      <c r="M7" s="73" t="s">
        <v>167</v>
      </c>
      <c r="N7" s="74" t="s">
        <v>168</v>
      </c>
      <c r="O7" s="9"/>
    </row>
    <row r="8" spans="1:15" ht="18" customHeight="1">
      <c r="A8" s="78"/>
      <c r="B8" s="78"/>
      <c r="C8" s="75"/>
      <c r="D8" s="75"/>
      <c r="E8" s="75"/>
      <c r="F8" s="75"/>
      <c r="G8" s="81"/>
      <c r="H8" s="82"/>
      <c r="I8" s="84"/>
      <c r="J8" s="75"/>
      <c r="K8" s="9"/>
      <c r="L8" s="9"/>
      <c r="M8" s="73"/>
      <c r="N8" s="74"/>
      <c r="O8" s="9"/>
    </row>
    <row r="9" spans="1:15" ht="18" customHeight="1">
      <c r="A9" s="19"/>
      <c r="B9" s="18"/>
      <c r="C9" s="75"/>
      <c r="D9" s="75"/>
      <c r="E9" s="75"/>
      <c r="F9" s="75"/>
      <c r="G9" s="37" t="s">
        <v>139</v>
      </c>
      <c r="H9" s="37" t="s">
        <v>154</v>
      </c>
      <c r="I9" s="85"/>
      <c r="J9" s="75"/>
      <c r="K9" s="9"/>
      <c r="L9" s="9"/>
      <c r="M9" s="73"/>
      <c r="N9" s="74"/>
      <c r="O9" s="9"/>
    </row>
    <row r="10" spans="1:15" ht="18">
      <c r="A10" s="15">
        <v>1</v>
      </c>
      <c r="B10" s="14" t="s">
        <v>65</v>
      </c>
      <c r="C10" s="17">
        <v>1</v>
      </c>
      <c r="D10" s="12">
        <v>35000</v>
      </c>
      <c r="E10" s="12">
        <f aca="true" t="shared" si="0" ref="E10:E15">D10*0.2</f>
        <v>7000</v>
      </c>
      <c r="F10" s="11">
        <f aca="true" t="shared" si="1" ref="F10:F15">(E10+D10)*C10</f>
        <v>42000</v>
      </c>
      <c r="G10" s="11">
        <v>0</v>
      </c>
      <c r="H10" s="11">
        <f>F10*G10%</f>
        <v>0</v>
      </c>
      <c r="I10" s="11">
        <f>F10+H10</f>
        <v>42000</v>
      </c>
      <c r="J10" s="11">
        <f>(F10+H10)*12</f>
        <v>504000</v>
      </c>
      <c r="K10" s="9">
        <f>F10/'расходы 2021'!E$36</f>
        <v>4.716228993130026</v>
      </c>
      <c r="L10" s="9"/>
      <c r="M10" s="9">
        <v>19550</v>
      </c>
      <c r="N10" s="64">
        <f>I10-M10</f>
        <v>22450</v>
      </c>
      <c r="O10" s="9"/>
    </row>
    <row r="11" spans="1:15" ht="18">
      <c r="A11" s="15">
        <v>2</v>
      </c>
      <c r="B11" s="14" t="s">
        <v>64</v>
      </c>
      <c r="C11" s="17">
        <v>0.5</v>
      </c>
      <c r="D11" s="12">
        <v>15000</v>
      </c>
      <c r="E11" s="12">
        <f t="shared" si="0"/>
        <v>3000</v>
      </c>
      <c r="F11" s="11">
        <f t="shared" si="1"/>
        <v>9000</v>
      </c>
      <c r="G11" s="11">
        <v>15</v>
      </c>
      <c r="H11" s="11">
        <f aca="true" t="shared" si="2" ref="H11:H15">F11*G11%</f>
        <v>1350</v>
      </c>
      <c r="I11" s="11">
        <f aca="true" t="shared" si="3" ref="I11:I15">F11+H11</f>
        <v>10350</v>
      </c>
      <c r="J11" s="11">
        <f aca="true" t="shared" si="4" ref="J11:J15">(F11+H11)*12</f>
        <v>124200</v>
      </c>
      <c r="K11" s="9">
        <f>F11/'расходы 2021'!E$36</f>
        <v>1.0106204985278628</v>
      </c>
      <c r="L11" s="9"/>
      <c r="M11" s="9">
        <v>8500</v>
      </c>
      <c r="N11" s="64">
        <f aca="true" t="shared" si="5" ref="N11:N15">I11-M11</f>
        <v>1850</v>
      </c>
      <c r="O11" s="9"/>
    </row>
    <row r="12" spans="1:15" ht="18">
      <c r="A12" s="15">
        <v>3</v>
      </c>
      <c r="B12" s="14" t="s">
        <v>63</v>
      </c>
      <c r="C12" s="13">
        <v>0.25</v>
      </c>
      <c r="D12" s="12">
        <v>15000</v>
      </c>
      <c r="E12" s="12">
        <f t="shared" si="0"/>
        <v>3000</v>
      </c>
      <c r="F12" s="11">
        <f t="shared" si="1"/>
        <v>4500</v>
      </c>
      <c r="G12" s="11">
        <v>10</v>
      </c>
      <c r="H12" s="11">
        <f t="shared" si="2"/>
        <v>450</v>
      </c>
      <c r="I12" s="11">
        <f t="shared" si="3"/>
        <v>4950</v>
      </c>
      <c r="J12" s="11">
        <f t="shared" si="4"/>
        <v>59400</v>
      </c>
      <c r="K12" s="9">
        <f>F12/'расходы 2021'!E$36</f>
        <v>0.5053102492639314</v>
      </c>
      <c r="L12" s="9"/>
      <c r="M12" s="9">
        <v>3000</v>
      </c>
      <c r="N12" s="64">
        <f t="shared" si="5"/>
        <v>1950</v>
      </c>
      <c r="O12" s="9"/>
    </row>
    <row r="13" spans="1:15" ht="18">
      <c r="A13" s="15">
        <v>4</v>
      </c>
      <c r="B13" s="14" t="s">
        <v>79</v>
      </c>
      <c r="C13" s="17">
        <v>1</v>
      </c>
      <c r="D13" s="12">
        <v>12130</v>
      </c>
      <c r="E13" s="12">
        <f t="shared" si="0"/>
        <v>2426</v>
      </c>
      <c r="F13" s="11">
        <f t="shared" si="1"/>
        <v>14556</v>
      </c>
      <c r="G13" s="11">
        <v>15</v>
      </c>
      <c r="H13" s="11">
        <f t="shared" si="2"/>
        <v>2183.4</v>
      </c>
      <c r="I13" s="11">
        <f t="shared" si="3"/>
        <v>16739.4</v>
      </c>
      <c r="J13" s="11">
        <f t="shared" si="4"/>
        <v>200872.80000000002</v>
      </c>
      <c r="K13" s="9">
        <f>F13/'расходы 2021'!E$36</f>
        <v>1.6345102196190635</v>
      </c>
      <c r="L13" s="9"/>
      <c r="M13" s="9">
        <v>15000</v>
      </c>
      <c r="N13" s="64">
        <f t="shared" si="5"/>
        <v>1739.4000000000015</v>
      </c>
      <c r="O13" s="9"/>
    </row>
    <row r="14" spans="1:15" ht="18">
      <c r="A14" s="15">
        <v>5</v>
      </c>
      <c r="B14" s="14" t="s">
        <v>62</v>
      </c>
      <c r="C14" s="17">
        <v>1.5</v>
      </c>
      <c r="D14" s="12">
        <v>12130</v>
      </c>
      <c r="E14" s="12">
        <f t="shared" si="0"/>
        <v>2426</v>
      </c>
      <c r="F14" s="11">
        <f t="shared" si="1"/>
        <v>21834</v>
      </c>
      <c r="G14" s="11">
        <v>10</v>
      </c>
      <c r="H14" s="11">
        <f t="shared" si="2"/>
        <v>2183.4</v>
      </c>
      <c r="I14" s="11">
        <f t="shared" si="3"/>
        <v>24017.4</v>
      </c>
      <c r="J14" s="11">
        <f t="shared" si="4"/>
        <v>288208.80000000005</v>
      </c>
      <c r="K14" s="9">
        <f>F14/'расходы 2021'!E$36</f>
        <v>2.451765329428595</v>
      </c>
      <c r="L14" s="9"/>
      <c r="M14" s="9">
        <v>22500</v>
      </c>
      <c r="N14" s="64">
        <f t="shared" si="5"/>
        <v>1517.4000000000015</v>
      </c>
      <c r="O14" s="9"/>
    </row>
    <row r="15" spans="1:15" ht="18">
      <c r="A15" s="15">
        <v>6</v>
      </c>
      <c r="B15" s="16" t="s">
        <v>61</v>
      </c>
      <c r="C15" s="15">
        <v>0.5</v>
      </c>
      <c r="D15" s="15">
        <v>12130</v>
      </c>
      <c r="E15" s="12">
        <f t="shared" si="0"/>
        <v>2426</v>
      </c>
      <c r="F15" s="11">
        <f t="shared" si="1"/>
        <v>7278</v>
      </c>
      <c r="G15" s="11">
        <v>20</v>
      </c>
      <c r="H15" s="11">
        <f t="shared" si="2"/>
        <v>1455.6000000000001</v>
      </c>
      <c r="I15" s="11">
        <f t="shared" si="3"/>
        <v>8733.6</v>
      </c>
      <c r="J15" s="11">
        <f t="shared" si="4"/>
        <v>104803.20000000001</v>
      </c>
      <c r="K15" s="9">
        <f>F15/'расходы 2021'!E$36</f>
        <v>0.8172551098095318</v>
      </c>
      <c r="L15" s="9"/>
      <c r="M15" s="9">
        <v>8500</v>
      </c>
      <c r="N15" s="64">
        <f t="shared" si="5"/>
        <v>233.60000000000036</v>
      </c>
      <c r="O15" s="9"/>
    </row>
    <row r="16" spans="1:15" ht="18">
      <c r="A16" s="15"/>
      <c r="B16" s="14" t="s">
        <v>60</v>
      </c>
      <c r="C16" s="13">
        <f>SUM(C10:C15)</f>
        <v>4.75</v>
      </c>
      <c r="D16" s="12">
        <f>SUM(D10:D15)</f>
        <v>101390</v>
      </c>
      <c r="E16" s="12">
        <f>SUM(E10:E15)</f>
        <v>20278</v>
      </c>
      <c r="F16" s="11">
        <f>SUM(F10:F15)</f>
        <v>99168</v>
      </c>
      <c r="G16" s="11"/>
      <c r="H16" s="11">
        <f>SUM(H10:H15)</f>
        <v>7622.400000000001</v>
      </c>
      <c r="I16" s="11">
        <f>SUM(I10:I15)</f>
        <v>106790.4</v>
      </c>
      <c r="J16" s="10">
        <f>SUM(J10:J15)</f>
        <v>1281484.8</v>
      </c>
      <c r="K16" s="9">
        <f>F16/'расходы 2021'!E$36</f>
        <v>11.13569039977901</v>
      </c>
      <c r="L16" s="9"/>
      <c r="M16" s="9"/>
      <c r="N16" s="55">
        <f>SUM(N10:N15)</f>
        <v>29740.4</v>
      </c>
      <c r="O16" s="9"/>
    </row>
    <row r="17" spans="1:16" ht="15">
      <c r="A17" s="9"/>
      <c r="B17" s="9"/>
      <c r="C17" s="9"/>
      <c r="D17" s="9"/>
      <c r="E17" s="9"/>
      <c r="F17" s="9"/>
      <c r="G17" s="9"/>
      <c r="H17" s="9"/>
      <c r="I17" s="9"/>
      <c r="J17" s="9">
        <v>1469621</v>
      </c>
      <c r="K17" s="9"/>
      <c r="L17" s="9"/>
      <c r="M17" s="9"/>
      <c r="N17" s="55"/>
      <c r="O17" s="55">
        <f>N16+N26</f>
        <v>8212</v>
      </c>
      <c r="P17" s="8">
        <f>O17*12</f>
        <v>98544</v>
      </c>
    </row>
    <row r="18" spans="1:15" ht="15" hidden="1">
      <c r="A18" s="9"/>
      <c r="B18" s="9"/>
      <c r="C18" s="9"/>
      <c r="D18" s="9"/>
      <c r="E18" s="9"/>
      <c r="F18" s="9">
        <v>111250</v>
      </c>
      <c r="G18" s="9"/>
      <c r="H18" s="9"/>
      <c r="I18" s="9"/>
      <c r="J18" s="9"/>
      <c r="K18" s="9"/>
      <c r="L18" s="9"/>
      <c r="M18" s="9"/>
      <c r="N18" s="55"/>
      <c r="O18" s="9"/>
    </row>
    <row r="19" spans="1:15" ht="15" hidden="1">
      <c r="A19" s="9"/>
      <c r="B19" s="9"/>
      <c r="C19" s="9"/>
      <c r="D19" s="9"/>
      <c r="E19" s="9"/>
      <c r="F19" s="9">
        <v>34200</v>
      </c>
      <c r="G19" s="9"/>
      <c r="H19" s="9"/>
      <c r="I19" s="9"/>
      <c r="J19" s="9"/>
      <c r="K19" s="9"/>
      <c r="L19" s="9"/>
      <c r="M19" s="9"/>
      <c r="N19" s="55"/>
      <c r="O19" s="9"/>
    </row>
    <row r="20" spans="1:16" ht="15">
      <c r="A20" s="9" t="s">
        <v>174</v>
      </c>
      <c r="B20" s="9"/>
      <c r="C20" s="9"/>
      <c r="D20" s="9"/>
      <c r="E20" s="9"/>
      <c r="J20" s="55">
        <f>J16-J17</f>
        <v>-188136.19999999995</v>
      </c>
      <c r="K20" s="9"/>
      <c r="L20" s="9"/>
      <c r="M20" s="9"/>
      <c r="N20" s="55"/>
      <c r="O20" s="9"/>
      <c r="P20" s="8">
        <v>304680</v>
      </c>
    </row>
    <row r="21" spans="1:15" ht="15">
      <c r="A21" s="9"/>
      <c r="B21" s="9"/>
      <c r="C21" s="9"/>
      <c r="D21" s="9"/>
      <c r="E21" s="9"/>
      <c r="F21" s="9"/>
      <c r="G21" s="9" t="s">
        <v>163</v>
      </c>
      <c r="H21" s="9"/>
      <c r="I21" s="9">
        <v>23000</v>
      </c>
      <c r="J21" s="9"/>
      <c r="K21" s="9"/>
      <c r="L21" s="9"/>
      <c r="O21" s="9"/>
    </row>
    <row r="22" spans="1:15" ht="15">
      <c r="A22" s="9"/>
      <c r="B22" s="9"/>
      <c r="C22" s="9"/>
      <c r="D22" s="9"/>
      <c r="E22" s="9"/>
      <c r="F22" s="9"/>
      <c r="G22" s="9" t="s">
        <v>166</v>
      </c>
      <c r="H22" s="9"/>
      <c r="I22" s="9"/>
      <c r="J22" s="9"/>
      <c r="K22" s="9"/>
      <c r="L22" s="9"/>
      <c r="M22" s="9">
        <v>34200</v>
      </c>
      <c r="N22" s="9"/>
      <c r="O22" s="9"/>
    </row>
    <row r="23" spans="1:15" ht="15">
      <c r="A23" s="9"/>
      <c r="B23" s="9" t="s">
        <v>172</v>
      </c>
      <c r="C23" s="9"/>
      <c r="D23" s="9"/>
      <c r="E23" s="9"/>
      <c r="F23" s="9"/>
      <c r="G23" s="9" t="s">
        <v>164</v>
      </c>
      <c r="H23" s="9" t="s">
        <v>165</v>
      </c>
      <c r="I23" s="9"/>
      <c r="J23" s="9"/>
      <c r="K23" s="9"/>
      <c r="L23" s="9"/>
      <c r="M23" s="9">
        <f>M22*0.302</f>
        <v>10328.4</v>
      </c>
      <c r="N23" s="9"/>
      <c r="O23" s="9"/>
    </row>
    <row r="24" spans="1:15" ht="18">
      <c r="A24" s="9"/>
      <c r="B24" s="56" t="s">
        <v>65</v>
      </c>
      <c r="C24" s="57">
        <v>1</v>
      </c>
      <c r="D24" s="58">
        <v>15640</v>
      </c>
      <c r="E24" s="58">
        <v>3910</v>
      </c>
      <c r="F24" s="59">
        <v>19550</v>
      </c>
      <c r="G24" s="9"/>
      <c r="H24" s="9"/>
      <c r="I24" s="9"/>
      <c r="J24" s="9"/>
      <c r="K24" s="9"/>
      <c r="L24" s="9"/>
      <c r="M24" s="9"/>
      <c r="N24" s="9"/>
      <c r="O24" s="9"/>
    </row>
    <row r="25" spans="1:15" ht="18">
      <c r="A25" s="9"/>
      <c r="B25" s="56" t="s">
        <v>160</v>
      </c>
      <c r="C25" s="57">
        <v>1</v>
      </c>
      <c r="D25" s="58">
        <v>14960</v>
      </c>
      <c r="E25" s="58">
        <v>3740</v>
      </c>
      <c r="F25" s="59">
        <v>18700</v>
      </c>
      <c r="G25" s="9" t="s">
        <v>173</v>
      </c>
      <c r="H25" s="9"/>
      <c r="I25" s="9"/>
      <c r="J25" s="9"/>
      <c r="K25" s="9"/>
      <c r="L25" s="9"/>
      <c r="M25" s="9">
        <f>M22+M23</f>
        <v>44528.4</v>
      </c>
      <c r="O25" s="9"/>
    </row>
    <row r="26" spans="1:15" ht="18">
      <c r="A26" s="9"/>
      <c r="B26" s="56" t="s">
        <v>64</v>
      </c>
      <c r="C26" s="57">
        <v>0.5</v>
      </c>
      <c r="D26" s="58">
        <v>6800</v>
      </c>
      <c r="E26" s="58">
        <v>1700</v>
      </c>
      <c r="F26" s="59">
        <v>8500</v>
      </c>
      <c r="G26" s="9" t="s">
        <v>169</v>
      </c>
      <c r="H26" s="9"/>
      <c r="I26" s="9"/>
      <c r="J26" s="9"/>
      <c r="K26" s="9"/>
      <c r="L26" s="9"/>
      <c r="M26" s="9"/>
      <c r="N26" s="55">
        <f>I21-M25</f>
        <v>-21528.4</v>
      </c>
      <c r="O26" s="9"/>
    </row>
    <row r="27" spans="1:15" ht="18">
      <c r="A27" s="9"/>
      <c r="B27" s="56" t="s">
        <v>63</v>
      </c>
      <c r="C27" s="60">
        <v>0.25</v>
      </c>
      <c r="D27" s="58">
        <v>2400</v>
      </c>
      <c r="E27" s="61">
        <v>600</v>
      </c>
      <c r="F27" s="59">
        <f>SUM(D27:E27)</f>
        <v>3000</v>
      </c>
      <c r="G27" s="9" t="s">
        <v>170</v>
      </c>
      <c r="H27" s="9"/>
      <c r="I27" s="9"/>
      <c r="J27" s="9"/>
      <c r="K27" s="9"/>
      <c r="L27" s="9"/>
      <c r="M27" s="9"/>
      <c r="N27" s="9">
        <f>N26*12</f>
        <v>-258340.80000000002</v>
      </c>
      <c r="O27" s="9"/>
    </row>
    <row r="28" spans="1:15" ht="18">
      <c r="A28" s="9"/>
      <c r="B28" s="56" t="s">
        <v>79</v>
      </c>
      <c r="C28" s="57">
        <v>1</v>
      </c>
      <c r="D28" s="58">
        <v>12000</v>
      </c>
      <c r="E28" s="58">
        <v>3000</v>
      </c>
      <c r="F28" s="59">
        <v>15000</v>
      </c>
      <c r="G28" s="9" t="s">
        <v>171</v>
      </c>
      <c r="H28" s="9"/>
      <c r="I28" s="9"/>
      <c r="J28" s="9"/>
      <c r="K28" s="9"/>
      <c r="L28" s="9"/>
      <c r="M28" s="9"/>
      <c r="N28" s="9">
        <f>N26/8905.42</f>
        <v>-2.4174491489452494</v>
      </c>
      <c r="O28" s="9"/>
    </row>
    <row r="29" spans="1:15" ht="18">
      <c r="A29" s="9"/>
      <c r="B29" s="56" t="s">
        <v>62</v>
      </c>
      <c r="C29" s="57">
        <v>0.5</v>
      </c>
      <c r="D29" s="58">
        <v>6000</v>
      </c>
      <c r="E29" s="58">
        <v>1500</v>
      </c>
      <c r="F29" s="59">
        <v>7500</v>
      </c>
      <c r="G29" s="9"/>
      <c r="H29" s="9"/>
      <c r="I29" s="9"/>
      <c r="J29" s="9"/>
      <c r="K29" s="9"/>
      <c r="L29" s="9"/>
      <c r="M29" s="9"/>
      <c r="N29" s="9"/>
      <c r="O29" s="9"/>
    </row>
    <row r="30" spans="1:15" ht="18">
      <c r="A30" s="9"/>
      <c r="B30" s="56" t="s">
        <v>62</v>
      </c>
      <c r="C30" s="57">
        <v>1</v>
      </c>
      <c r="D30" s="58">
        <v>12000</v>
      </c>
      <c r="E30" s="58">
        <v>3000</v>
      </c>
      <c r="F30" s="59">
        <v>15000</v>
      </c>
      <c r="G30" s="9"/>
      <c r="H30" s="9"/>
      <c r="I30" s="9"/>
      <c r="J30" s="9"/>
      <c r="K30" s="9"/>
      <c r="L30" s="9"/>
      <c r="M30" s="9"/>
      <c r="N30" s="9"/>
      <c r="O30" s="9"/>
    </row>
    <row r="31" spans="1:15" ht="18">
      <c r="A31" s="9"/>
      <c r="B31" s="56" t="s">
        <v>161</v>
      </c>
      <c r="C31" s="57">
        <v>0.5</v>
      </c>
      <c r="D31" s="58">
        <v>6800</v>
      </c>
      <c r="E31" s="58">
        <v>1700</v>
      </c>
      <c r="F31" s="59">
        <f>SUM(D31:E31)</f>
        <v>8500</v>
      </c>
      <c r="G31" s="9"/>
      <c r="H31" s="9"/>
      <c r="I31" s="9"/>
      <c r="J31" s="9"/>
      <c r="K31" s="9"/>
      <c r="L31" s="9"/>
      <c r="M31" s="9"/>
      <c r="N31" s="9"/>
      <c r="O31" s="9"/>
    </row>
    <row r="32" spans="1:15" ht="18">
      <c r="A32" s="9"/>
      <c r="B32" s="56" t="s">
        <v>162</v>
      </c>
      <c r="C32" s="57">
        <v>0.5</v>
      </c>
      <c r="D32" s="58">
        <v>5600</v>
      </c>
      <c r="E32" s="58">
        <v>1400</v>
      </c>
      <c r="F32" s="59">
        <f>SUM(D32:E32)</f>
        <v>7000</v>
      </c>
      <c r="G32" s="9"/>
      <c r="H32" s="9"/>
      <c r="I32" s="9"/>
      <c r="J32" s="9"/>
      <c r="K32" s="9"/>
      <c r="L32" s="9"/>
      <c r="M32" s="9"/>
      <c r="N32" s="9"/>
      <c r="O32" s="9"/>
    </row>
    <row r="33" spans="1:15" ht="15">
      <c r="A33" s="9"/>
      <c r="B33" s="62" t="s">
        <v>61</v>
      </c>
      <c r="C33" s="61">
        <v>0.5</v>
      </c>
      <c r="D33" s="61">
        <v>6800</v>
      </c>
      <c r="E33" s="61">
        <v>1700</v>
      </c>
      <c r="F33" s="63">
        <v>8500</v>
      </c>
      <c r="G33" s="9"/>
      <c r="H33" s="9"/>
      <c r="I33" s="9"/>
      <c r="J33" s="9"/>
      <c r="K33" s="9"/>
      <c r="L33" s="9"/>
      <c r="M33" s="9"/>
      <c r="N33" s="9"/>
      <c r="O33" s="9"/>
    </row>
    <row r="34" spans="1:15" ht="15">
      <c r="A34" s="9"/>
      <c r="B34" s="9"/>
      <c r="C34" s="9"/>
      <c r="D34" s="9"/>
      <c r="E34" s="9"/>
      <c r="F34" s="9">
        <v>1335000</v>
      </c>
      <c r="G34" s="9"/>
      <c r="H34" s="9"/>
      <c r="I34" s="9"/>
      <c r="J34" s="9"/>
      <c r="K34" s="9"/>
      <c r="L34" s="9"/>
      <c r="M34" s="9"/>
      <c r="N34" s="9"/>
      <c r="O34" s="9"/>
    </row>
    <row r="35" spans="1:1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2">
    <mergeCell ref="M7:M9"/>
    <mergeCell ref="N7:N9"/>
    <mergeCell ref="J7:J9"/>
    <mergeCell ref="B5:F5"/>
    <mergeCell ref="A7:A8"/>
    <mergeCell ref="B7:B8"/>
    <mergeCell ref="C7:C9"/>
    <mergeCell ref="D7:D9"/>
    <mergeCell ref="E7:E9"/>
    <mergeCell ref="F7:F9"/>
    <mergeCell ref="G7:H8"/>
    <mergeCell ref="I7:I9"/>
  </mergeCells>
  <printOptions/>
  <pageMargins left="0.51" right="0.7874015748031497" top="0.984251968503937" bottom="0.7874015748031497" header="0.5118110236220472" footer="0.5118110236220472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28">
      <selection activeCell="E31" sqref="E31"/>
    </sheetView>
  </sheetViews>
  <sheetFormatPr defaultColWidth="9.140625" defaultRowHeight="15"/>
  <cols>
    <col min="1" max="1" width="4.57421875" style="0" customWidth="1"/>
    <col min="2" max="2" width="70.00390625" style="0" customWidth="1"/>
    <col min="3" max="3" width="4.28125" style="0" customWidth="1"/>
    <col min="4" max="4" width="9.8515625" style="0" customWidth="1"/>
    <col min="5" max="5" width="11.7109375" style="0" bestFit="1" customWidth="1"/>
    <col min="6" max="6" width="11.8515625" style="0" customWidth="1"/>
    <col min="7" max="7" width="9.140625" style="0" customWidth="1"/>
  </cols>
  <sheetData>
    <row r="1" spans="1:6" ht="15">
      <c r="A1" t="s">
        <v>83</v>
      </c>
      <c r="C1" s="86" t="s">
        <v>86</v>
      </c>
      <c r="D1" s="87"/>
      <c r="E1" s="87"/>
      <c r="F1" s="87"/>
    </row>
    <row r="2" spans="1:6" ht="15">
      <c r="A2" t="s">
        <v>85</v>
      </c>
      <c r="C2" s="86" t="s">
        <v>197</v>
      </c>
      <c r="D2" s="86"/>
      <c r="E2" s="86"/>
      <c r="F2" s="86"/>
    </row>
    <row r="3" spans="1:7" ht="30">
      <c r="A3" s="2" t="s">
        <v>0</v>
      </c>
      <c r="B3" s="27" t="s">
        <v>195</v>
      </c>
      <c r="C3" s="2" t="s">
        <v>139</v>
      </c>
      <c r="D3" s="2" t="s">
        <v>58</v>
      </c>
      <c r="E3" s="2" t="s">
        <v>56</v>
      </c>
      <c r="F3" s="2" t="s">
        <v>57</v>
      </c>
      <c r="G3" s="69" t="s">
        <v>184</v>
      </c>
    </row>
    <row r="4" spans="1:7" ht="15">
      <c r="A4" s="4">
        <v>1</v>
      </c>
      <c r="B4" s="4" t="s">
        <v>55</v>
      </c>
      <c r="C4" s="4"/>
      <c r="D4" s="33">
        <f>E4/E36</f>
        <v>11.991618587332209</v>
      </c>
      <c r="E4" s="29">
        <f>'штатное 2021'!I16</f>
        <v>106790.4</v>
      </c>
      <c r="F4" s="31">
        <f>E4*12</f>
        <v>1281484.7999999998</v>
      </c>
      <c r="G4">
        <v>1087793</v>
      </c>
    </row>
    <row r="5" spans="1:7" ht="15">
      <c r="A5" s="4">
        <v>2</v>
      </c>
      <c r="B5" s="30" t="s">
        <v>51</v>
      </c>
      <c r="C5" s="4">
        <v>22</v>
      </c>
      <c r="D5" s="33">
        <f>E5/E36</f>
        <v>2.6381560892130858</v>
      </c>
      <c r="E5" s="31">
        <f>E4*0.22</f>
        <v>23493.888</v>
      </c>
      <c r="F5" s="31">
        <f aca="true" t="shared" si="0" ref="F5:F14">E5*12</f>
        <v>281926.65599999996</v>
      </c>
      <c r="G5">
        <v>270953</v>
      </c>
    </row>
    <row r="6" spans="1:7" ht="15">
      <c r="A6" s="4">
        <v>3</v>
      </c>
      <c r="B6" s="4" t="s">
        <v>52</v>
      </c>
      <c r="C6" s="4">
        <v>5.1</v>
      </c>
      <c r="D6" s="33">
        <f>E6/E36</f>
        <v>0.6115725479539426</v>
      </c>
      <c r="E6" s="31">
        <f>E4*0.051</f>
        <v>5446.310399999999</v>
      </c>
      <c r="F6" s="31">
        <f t="shared" si="0"/>
        <v>65355.724799999996</v>
      </c>
      <c r="G6">
        <v>61008</v>
      </c>
    </row>
    <row r="7" spans="1:7" ht="15">
      <c r="A7" s="4">
        <v>4</v>
      </c>
      <c r="B7" s="4" t="s">
        <v>53</v>
      </c>
      <c r="C7" s="4">
        <v>2.9</v>
      </c>
      <c r="D7" s="33">
        <f>E7/E36</f>
        <v>0.347756939032634</v>
      </c>
      <c r="E7" s="31">
        <f>E4*C7%</f>
        <v>3096.9215999999997</v>
      </c>
      <c r="F7" s="31">
        <f t="shared" si="0"/>
        <v>37163.059199999996</v>
      </c>
      <c r="G7">
        <v>21082</v>
      </c>
    </row>
    <row r="8" spans="1:7" ht="15">
      <c r="A8" s="4">
        <v>5</v>
      </c>
      <c r="B8" s="4" t="s">
        <v>178</v>
      </c>
      <c r="C8" s="4">
        <v>0.2</v>
      </c>
      <c r="D8" s="33">
        <f>E8/E36</f>
        <v>0.023983237174664416</v>
      </c>
      <c r="E8" s="31">
        <f>E4*C8%</f>
        <v>213.58079999999998</v>
      </c>
      <c r="F8" s="31">
        <f t="shared" si="0"/>
        <v>2562.9696</v>
      </c>
      <c r="G8">
        <v>5828</v>
      </c>
    </row>
    <row r="9" spans="1:6" ht="15">
      <c r="A9" s="4"/>
      <c r="B9" s="4"/>
      <c r="C9" s="4"/>
      <c r="D9" s="33"/>
      <c r="E9" s="4"/>
      <c r="F9" s="4"/>
    </row>
    <row r="10" spans="1:7" ht="15">
      <c r="A10" s="4">
        <v>6</v>
      </c>
      <c r="B10" s="4" t="s">
        <v>179</v>
      </c>
      <c r="C10" s="4"/>
      <c r="D10" s="33">
        <f>E10/E36</f>
        <v>0.7298925822701231</v>
      </c>
      <c r="E10" s="4">
        <v>6500</v>
      </c>
      <c r="F10" s="4">
        <f t="shared" si="0"/>
        <v>78000</v>
      </c>
      <c r="G10">
        <v>64900</v>
      </c>
    </row>
    <row r="11" spans="1:7" ht="15">
      <c r="A11" s="4">
        <v>7</v>
      </c>
      <c r="B11" s="4" t="s">
        <v>44</v>
      </c>
      <c r="C11" s="4"/>
      <c r="D11" s="33">
        <f>E11/E36</f>
        <v>1.1229116650309587</v>
      </c>
      <c r="E11" s="4">
        <v>10000</v>
      </c>
      <c r="F11" s="4">
        <f t="shared" si="0"/>
        <v>120000</v>
      </c>
      <c r="G11">
        <v>76500</v>
      </c>
    </row>
    <row r="12" spans="1:7" ht="15">
      <c r="A12" s="4">
        <v>8</v>
      </c>
      <c r="B12" s="4" t="s">
        <v>42</v>
      </c>
      <c r="C12" s="4"/>
      <c r="D12" s="33">
        <f>E12/E36</f>
        <v>2.582696829571205</v>
      </c>
      <c r="E12" s="4">
        <v>23000</v>
      </c>
      <c r="F12" s="4">
        <f t="shared" si="0"/>
        <v>276000</v>
      </c>
      <c r="G12">
        <v>230000</v>
      </c>
    </row>
    <row r="13" spans="1:7" ht="15">
      <c r="A13" s="4">
        <v>9</v>
      </c>
      <c r="B13" s="4" t="s">
        <v>45</v>
      </c>
      <c r="C13" s="4"/>
      <c r="D13" s="33">
        <f>E13/E36</f>
        <v>0.13474939980371503</v>
      </c>
      <c r="E13" s="4">
        <v>1200</v>
      </c>
      <c r="F13" s="4">
        <f t="shared" si="0"/>
        <v>14400</v>
      </c>
      <c r="G13">
        <v>14400</v>
      </c>
    </row>
    <row r="14" spans="1:7" ht="15">
      <c r="A14" s="4">
        <v>10</v>
      </c>
      <c r="B14" s="4" t="s">
        <v>46</v>
      </c>
      <c r="C14" s="4"/>
      <c r="D14" s="33">
        <f>E14/E36</f>
        <v>0.1684367497546438</v>
      </c>
      <c r="E14" s="4">
        <v>1500</v>
      </c>
      <c r="F14" s="4">
        <f t="shared" si="0"/>
        <v>18000</v>
      </c>
      <c r="G14">
        <v>19500</v>
      </c>
    </row>
    <row r="15" spans="1:7" ht="15">
      <c r="A15" s="4">
        <v>11</v>
      </c>
      <c r="B15" s="4" t="s">
        <v>47</v>
      </c>
      <c r="C15" s="4"/>
      <c r="D15" s="33">
        <f>E15/E36</f>
        <v>0.08983293320247669</v>
      </c>
      <c r="E15" s="4">
        <v>800</v>
      </c>
      <c r="F15" s="4">
        <f aca="true" t="shared" si="1" ref="F15:F18">E15*12</f>
        <v>9600</v>
      </c>
      <c r="G15">
        <v>2662</v>
      </c>
    </row>
    <row r="16" spans="1:7" ht="15">
      <c r="A16" s="4">
        <v>12</v>
      </c>
      <c r="B16" s="4" t="s">
        <v>138</v>
      </c>
      <c r="C16" s="4"/>
      <c r="D16" s="33">
        <f>E16/E36</f>
        <v>0.3368734995092876</v>
      </c>
      <c r="E16" s="4">
        <v>3000</v>
      </c>
      <c r="F16" s="4">
        <f t="shared" si="1"/>
        <v>36000</v>
      </c>
      <c r="G16">
        <v>15717</v>
      </c>
    </row>
    <row r="17" spans="1:7" ht="15">
      <c r="A17" s="4">
        <v>13</v>
      </c>
      <c r="B17" s="4" t="s">
        <v>84</v>
      </c>
      <c r="C17" s="4"/>
      <c r="D17" s="33">
        <f>E17/E36</f>
        <v>0.2807279162577397</v>
      </c>
      <c r="E17" s="4">
        <v>2500</v>
      </c>
      <c r="F17" s="4">
        <f t="shared" si="1"/>
        <v>30000</v>
      </c>
      <c r="G17">
        <v>4478</v>
      </c>
    </row>
    <row r="18" spans="1:7" ht="15">
      <c r="A18" s="4">
        <v>14</v>
      </c>
      <c r="B18" s="4" t="s">
        <v>75</v>
      </c>
      <c r="C18" s="4"/>
      <c r="D18" s="33">
        <f>E18/E36</f>
        <v>1.1229116650309587</v>
      </c>
      <c r="E18" s="4">
        <v>10000</v>
      </c>
      <c r="F18" s="4">
        <f t="shared" si="1"/>
        <v>120000</v>
      </c>
      <c r="G18">
        <v>0</v>
      </c>
    </row>
    <row r="19" spans="1:7" ht="15">
      <c r="A19" s="4">
        <v>15</v>
      </c>
      <c r="B19" s="53" t="s">
        <v>143</v>
      </c>
      <c r="C19" s="5"/>
      <c r="D19" s="33">
        <f>E19/E36</f>
        <v>0.36494629113506155</v>
      </c>
      <c r="E19" s="31">
        <f>F19/12</f>
        <v>3250</v>
      </c>
      <c r="F19" s="4">
        <v>39000</v>
      </c>
      <c r="G19">
        <v>0</v>
      </c>
    </row>
    <row r="20" spans="1:6" ht="15">
      <c r="A20" s="4"/>
      <c r="B20" s="6" t="s">
        <v>137</v>
      </c>
      <c r="C20" s="5"/>
      <c r="D20" s="49">
        <f>SUM(D4:D19)</f>
        <v>22.547066932272706</v>
      </c>
      <c r="E20" s="4"/>
      <c r="F20" s="4"/>
    </row>
    <row r="21" spans="2:6" ht="15">
      <c r="B21" s="5"/>
      <c r="C21" s="5"/>
      <c r="D21" s="49"/>
      <c r="E21" s="4"/>
      <c r="F21" s="4"/>
    </row>
    <row r="22" spans="1:7" ht="15">
      <c r="A22" s="4">
        <v>16</v>
      </c>
      <c r="B22" s="4" t="s">
        <v>151</v>
      </c>
      <c r="C22" s="4"/>
      <c r="D22" s="33">
        <f>E22/(E36)</f>
        <v>0.3933334980270442</v>
      </c>
      <c r="E22" s="31">
        <f>180*19.46</f>
        <v>3502.8</v>
      </c>
      <c r="F22" s="31">
        <f>E22*12</f>
        <v>42033.600000000006</v>
      </c>
      <c r="G22">
        <v>49221</v>
      </c>
    </row>
    <row r="23" spans="1:7" ht="15">
      <c r="A23" s="4">
        <v>17</v>
      </c>
      <c r="B23" s="4" t="s">
        <v>152</v>
      </c>
      <c r="C23" s="4"/>
      <c r="D23" s="33">
        <f>E23/(E36)</f>
        <v>1.0289464169011682</v>
      </c>
      <c r="E23" s="31">
        <f>80*114.54</f>
        <v>9163.2</v>
      </c>
      <c r="F23" s="31">
        <f>E23*12</f>
        <v>109958.40000000001</v>
      </c>
      <c r="G23">
        <v>156609</v>
      </c>
    </row>
    <row r="24" spans="1:7" ht="15">
      <c r="A24" s="4">
        <v>18</v>
      </c>
      <c r="B24" s="4" t="s">
        <v>48</v>
      </c>
      <c r="C24" s="4"/>
      <c r="D24" s="33">
        <f>E24/(E36)</f>
        <v>1.3474939980371503</v>
      </c>
      <c r="E24" s="4">
        <v>12000</v>
      </c>
      <c r="F24" s="4">
        <f>E24*12</f>
        <v>144000</v>
      </c>
      <c r="G24">
        <v>111628</v>
      </c>
    </row>
    <row r="25" spans="1:7" ht="15">
      <c r="A25" s="4">
        <v>19</v>
      </c>
      <c r="B25" s="4" t="s">
        <v>136</v>
      </c>
      <c r="C25" s="4"/>
      <c r="D25" s="33">
        <f>E25/E36</f>
        <v>0.6737469990185752</v>
      </c>
      <c r="E25" s="4">
        <v>6000</v>
      </c>
      <c r="F25" s="4">
        <f>E25*12</f>
        <v>72000</v>
      </c>
      <c r="G25">
        <v>38338</v>
      </c>
    </row>
    <row r="26" spans="1:7" ht="15">
      <c r="A26" s="4">
        <v>20</v>
      </c>
      <c r="B26" s="4" t="s">
        <v>43</v>
      </c>
      <c r="C26" s="4"/>
      <c r="D26" s="33">
        <f>E26/E36</f>
        <v>1.2366626166985948</v>
      </c>
      <c r="E26" s="4">
        <v>11013</v>
      </c>
      <c r="F26" s="4">
        <f>E26*12</f>
        <v>132156</v>
      </c>
      <c r="G26">
        <v>99117</v>
      </c>
    </row>
    <row r="27" spans="1:6" ht="15">
      <c r="A27" s="4"/>
      <c r="B27" s="4"/>
      <c r="C27" s="4"/>
      <c r="D27" s="33"/>
      <c r="E27" s="4"/>
      <c r="F27" s="4"/>
    </row>
    <row r="28" spans="1:7" ht="15">
      <c r="A28" s="4">
        <v>21</v>
      </c>
      <c r="B28" s="4" t="s">
        <v>144</v>
      </c>
      <c r="C28" s="4"/>
      <c r="D28" s="33">
        <f>E28/E36</f>
        <v>1.684367497546438</v>
      </c>
      <c r="E28" s="31">
        <f>F28/12</f>
        <v>15000</v>
      </c>
      <c r="F28" s="4">
        <v>180000</v>
      </c>
      <c r="G28">
        <v>0</v>
      </c>
    </row>
    <row r="29" ht="15">
      <c r="A29" s="4"/>
    </row>
    <row r="30" spans="1:6" ht="15">
      <c r="A30" s="4"/>
      <c r="B30" s="6" t="s">
        <v>76</v>
      </c>
      <c r="C30" s="5"/>
      <c r="D30" s="48">
        <v>28.8</v>
      </c>
      <c r="E30" s="4"/>
      <c r="F30" s="4"/>
    </row>
    <row r="31" spans="1:6" ht="15">
      <c r="A31" s="4"/>
      <c r="B31" s="6" t="s">
        <v>142</v>
      </c>
      <c r="C31" s="5"/>
      <c r="D31" s="48">
        <v>7.72</v>
      </c>
      <c r="E31" s="4"/>
      <c r="F31" s="4"/>
    </row>
    <row r="32" spans="1:6" ht="15">
      <c r="A32" s="4"/>
      <c r="B32" s="4"/>
      <c r="C32" s="4"/>
      <c r="D32" s="33"/>
      <c r="E32" s="4"/>
      <c r="F32" s="4"/>
    </row>
    <row r="33" spans="1:7" ht="15">
      <c r="A33" s="4">
        <v>22</v>
      </c>
      <c r="B33" s="4" t="s">
        <v>180</v>
      </c>
      <c r="C33" s="4"/>
      <c r="D33" s="33">
        <v>45</v>
      </c>
      <c r="E33" s="4">
        <v>6000</v>
      </c>
      <c r="F33" s="4">
        <f>E33*12</f>
        <v>72000</v>
      </c>
      <c r="G33">
        <v>70005</v>
      </c>
    </row>
    <row r="34" spans="1:7" ht="15">
      <c r="A34" s="4">
        <v>23</v>
      </c>
      <c r="B34" s="4" t="s">
        <v>196</v>
      </c>
      <c r="C34" s="4"/>
      <c r="D34" s="33">
        <v>84</v>
      </c>
      <c r="E34" s="4">
        <v>20000</v>
      </c>
      <c r="F34" s="4">
        <f>E34*12</f>
        <v>240000</v>
      </c>
      <c r="G34">
        <v>301447</v>
      </c>
    </row>
    <row r="35" spans="1:6" ht="15" hidden="1">
      <c r="A35" s="4"/>
      <c r="B35" s="4"/>
      <c r="C35" s="4"/>
      <c r="D35" s="28"/>
      <c r="E35" s="33"/>
      <c r="F35" s="4"/>
    </row>
    <row r="36" spans="1:6" ht="15" hidden="1">
      <c r="A36" s="4"/>
      <c r="B36" s="4" t="s">
        <v>77</v>
      </c>
      <c r="C36" s="4"/>
      <c r="D36" s="28"/>
      <c r="E36" s="4">
        <v>8905.42</v>
      </c>
      <c r="F36" s="4"/>
    </row>
    <row r="37" spans="1:6" ht="15">
      <c r="A37" s="4"/>
      <c r="B37" s="4"/>
      <c r="C37" s="4"/>
      <c r="D37" s="28"/>
      <c r="E37" s="4"/>
      <c r="F37" s="4"/>
    </row>
    <row r="38" spans="1:7" ht="15">
      <c r="A38" s="4"/>
      <c r="B38" s="6" t="s">
        <v>78</v>
      </c>
      <c r="C38" s="4"/>
      <c r="D38" s="28"/>
      <c r="E38" s="4"/>
      <c r="F38" s="4"/>
      <c r="G38" s="26"/>
    </row>
    <row r="39" spans="1:7" ht="15">
      <c r="A39" s="4">
        <v>1</v>
      </c>
      <c r="B39" s="34" t="s">
        <v>1</v>
      </c>
      <c r="C39" s="4"/>
      <c r="D39" s="28"/>
      <c r="E39" s="35">
        <v>2000</v>
      </c>
      <c r="F39" s="4">
        <f>E39*12</f>
        <v>24000</v>
      </c>
      <c r="G39" s="26">
        <v>28000</v>
      </c>
    </row>
    <row r="40" spans="1:7" ht="15">
      <c r="A40" s="4">
        <v>2</v>
      </c>
      <c r="B40" s="34" t="s">
        <v>2</v>
      </c>
      <c r="C40" s="4"/>
      <c r="D40" s="28"/>
      <c r="E40" s="35">
        <v>3000</v>
      </c>
      <c r="F40" s="4">
        <f aca="true" t="shared" si="2" ref="F40:F48">E40*12</f>
        <v>36000</v>
      </c>
      <c r="G40" s="26">
        <v>42000</v>
      </c>
    </row>
    <row r="41" spans="1:8" ht="15">
      <c r="A41" s="4">
        <v>3</v>
      </c>
      <c r="B41" s="34" t="s">
        <v>198</v>
      </c>
      <c r="C41" s="4"/>
      <c r="D41" s="28"/>
      <c r="E41" s="35">
        <v>1800</v>
      </c>
      <c r="F41" s="4">
        <f t="shared" si="2"/>
        <v>21600</v>
      </c>
      <c r="G41" s="26">
        <v>0</v>
      </c>
      <c r="H41" t="s">
        <v>199</v>
      </c>
    </row>
    <row r="42" spans="1:7" ht="15">
      <c r="A42" s="4">
        <v>4</v>
      </c>
      <c r="B42" s="34" t="s">
        <v>8</v>
      </c>
      <c r="C42" s="4"/>
      <c r="D42" s="28"/>
      <c r="E42" s="35">
        <v>7000</v>
      </c>
      <c r="F42" s="4">
        <f t="shared" si="2"/>
        <v>84000</v>
      </c>
      <c r="G42" s="45">
        <v>116928</v>
      </c>
    </row>
    <row r="43" spans="1:7" ht="15">
      <c r="A43" s="4">
        <v>5</v>
      </c>
      <c r="B43" s="34" t="s">
        <v>3</v>
      </c>
      <c r="C43" s="4"/>
      <c r="D43" s="28"/>
      <c r="E43" s="35">
        <v>500</v>
      </c>
      <c r="F43" s="4">
        <f t="shared" si="2"/>
        <v>6000</v>
      </c>
      <c r="G43" s="45">
        <v>0</v>
      </c>
    </row>
    <row r="44" spans="1:7" ht="15">
      <c r="A44" s="4">
        <v>6</v>
      </c>
      <c r="B44" s="34" t="s">
        <v>4</v>
      </c>
      <c r="C44" s="4"/>
      <c r="D44" s="28"/>
      <c r="E44" s="35">
        <v>1553</v>
      </c>
      <c r="F44" s="4">
        <f t="shared" si="2"/>
        <v>18636</v>
      </c>
      <c r="G44" s="45">
        <v>20189</v>
      </c>
    </row>
    <row r="45" spans="1:7" ht="15">
      <c r="A45" s="4">
        <v>7</v>
      </c>
      <c r="B45" s="34" t="s">
        <v>7</v>
      </c>
      <c r="C45" s="4"/>
      <c r="D45" s="28"/>
      <c r="E45" s="35">
        <v>500</v>
      </c>
      <c r="F45" s="4">
        <f t="shared" si="2"/>
        <v>6000</v>
      </c>
      <c r="G45" s="45">
        <v>0</v>
      </c>
    </row>
    <row r="46" spans="1:7" ht="15">
      <c r="A46" s="4">
        <v>8</v>
      </c>
      <c r="B46" s="34" t="s">
        <v>5</v>
      </c>
      <c r="C46" s="4"/>
      <c r="D46" s="28"/>
      <c r="E46" s="35">
        <v>675</v>
      </c>
      <c r="F46" s="4">
        <f t="shared" si="2"/>
        <v>8100</v>
      </c>
      <c r="G46" s="45">
        <v>10125</v>
      </c>
    </row>
    <row r="47" spans="1:7" ht="15">
      <c r="A47" s="4">
        <v>9</v>
      </c>
      <c r="B47" s="34" t="s">
        <v>200</v>
      </c>
      <c r="C47" s="4"/>
      <c r="D47" s="28"/>
      <c r="E47" s="35">
        <v>675</v>
      </c>
      <c r="F47" s="4">
        <f t="shared" si="2"/>
        <v>8100</v>
      </c>
      <c r="G47" s="45">
        <v>0</v>
      </c>
    </row>
    <row r="48" spans="1:7" ht="15">
      <c r="A48" s="4">
        <v>10</v>
      </c>
      <c r="B48" s="34" t="s">
        <v>6</v>
      </c>
      <c r="C48" s="4"/>
      <c r="D48" s="28"/>
      <c r="E48" s="35">
        <v>2500</v>
      </c>
      <c r="F48" s="4">
        <f t="shared" si="2"/>
        <v>30000</v>
      </c>
      <c r="G48" s="45">
        <v>22500</v>
      </c>
    </row>
    <row r="49" spans="1:7" ht="15">
      <c r="A49" s="4"/>
      <c r="B49" s="70" t="s">
        <v>82</v>
      </c>
      <c r="C49" s="5"/>
      <c r="D49" s="32"/>
      <c r="E49" s="36">
        <f>SUM(E39:E48)</f>
        <v>20203</v>
      </c>
      <c r="F49" s="36">
        <f>SUM(F39:F48)</f>
        <v>242436</v>
      </c>
      <c r="G49" s="45">
        <v>313069</v>
      </c>
    </row>
    <row r="50" spans="1:7" ht="15">
      <c r="A50" s="65">
        <v>11</v>
      </c>
      <c r="B50" s="66" t="s">
        <v>185</v>
      </c>
      <c r="G50" s="45">
        <v>73327</v>
      </c>
    </row>
  </sheetData>
  <mergeCells count="2">
    <mergeCell ref="C2:F2"/>
    <mergeCell ref="C1:F1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B27" sqref="B27"/>
    </sheetView>
  </sheetViews>
  <sheetFormatPr defaultColWidth="9.140625" defaultRowHeight="15"/>
  <cols>
    <col min="1" max="1" width="4.7109375" style="0" customWidth="1"/>
    <col min="2" max="2" width="65.00390625" style="0" customWidth="1"/>
    <col min="3" max="3" width="10.57421875" style="0" customWidth="1"/>
    <col min="4" max="4" width="14.140625" style="0" customWidth="1"/>
  </cols>
  <sheetData>
    <row r="1" ht="18.75">
      <c r="B1" s="1" t="s">
        <v>191</v>
      </c>
    </row>
    <row r="3" spans="1:5" ht="30">
      <c r="A3" s="2" t="s">
        <v>0</v>
      </c>
      <c r="B3" s="3" t="s">
        <v>9</v>
      </c>
      <c r="C3" s="2" t="s">
        <v>39</v>
      </c>
      <c r="D3" s="3" t="s">
        <v>192</v>
      </c>
      <c r="E3" s="67" t="s">
        <v>186</v>
      </c>
    </row>
    <row r="4" spans="1:4" ht="15">
      <c r="A4" s="4"/>
      <c r="B4" s="4" t="s">
        <v>145</v>
      </c>
      <c r="C4" s="4"/>
      <c r="D4" s="4"/>
    </row>
    <row r="5" spans="1:5" ht="15">
      <c r="A5" s="31">
        <v>1</v>
      </c>
      <c r="B5" s="4" t="s">
        <v>175</v>
      </c>
      <c r="C5" s="4">
        <f>3*30000</f>
        <v>90000</v>
      </c>
      <c r="D5" s="4" t="s">
        <v>20</v>
      </c>
      <c r="E5" s="67">
        <v>0</v>
      </c>
    </row>
    <row r="6" spans="1:5" ht="15">
      <c r="A6" s="31">
        <v>2</v>
      </c>
      <c r="B6" s="4" t="s">
        <v>187</v>
      </c>
      <c r="C6" s="4">
        <f>200*300</f>
        <v>60000</v>
      </c>
      <c r="D6" s="4" t="s">
        <v>17</v>
      </c>
      <c r="E6" s="67">
        <v>0</v>
      </c>
    </row>
    <row r="7" spans="1:5" ht="15">
      <c r="A7" s="31">
        <v>3</v>
      </c>
      <c r="B7" s="4" t="s">
        <v>11</v>
      </c>
      <c r="C7" s="4">
        <v>20000</v>
      </c>
      <c r="D7" s="4" t="s">
        <v>15</v>
      </c>
      <c r="E7" s="67">
        <v>20000</v>
      </c>
    </row>
    <row r="8" spans="1:5" ht="15">
      <c r="A8" s="31">
        <v>4</v>
      </c>
      <c r="B8" s="4" t="s">
        <v>49</v>
      </c>
      <c r="C8" s="4">
        <v>10000</v>
      </c>
      <c r="D8" s="4" t="s">
        <v>50</v>
      </c>
      <c r="E8" s="67">
        <v>8640</v>
      </c>
    </row>
    <row r="9" spans="1:5" ht="15">
      <c r="A9" s="4"/>
      <c r="B9" s="5" t="s">
        <v>35</v>
      </c>
      <c r="C9" s="5">
        <f>SUM(C5:C8)</f>
        <v>180000</v>
      </c>
      <c r="D9" s="4"/>
      <c r="E9" s="68">
        <v>28640</v>
      </c>
    </row>
    <row r="10" spans="1:4" ht="15">
      <c r="A10" s="4"/>
      <c r="B10" s="5"/>
      <c r="C10" s="5"/>
      <c r="D10" s="4"/>
    </row>
    <row r="11" spans="1:4" ht="30">
      <c r="A11" s="4"/>
      <c r="B11" s="2" t="s">
        <v>147</v>
      </c>
      <c r="C11" s="4"/>
      <c r="D11" s="4"/>
    </row>
    <row r="12" spans="1:5" ht="15">
      <c r="A12" s="4">
        <v>6</v>
      </c>
      <c r="B12" s="4" t="s">
        <v>146</v>
      </c>
      <c r="C12" s="4">
        <v>100000</v>
      </c>
      <c r="D12" s="4" t="s">
        <v>16</v>
      </c>
      <c r="E12" s="67">
        <v>100300</v>
      </c>
    </row>
    <row r="13" spans="1:5" ht="15">
      <c r="A13" s="4">
        <v>7</v>
      </c>
      <c r="B13" s="4" t="s">
        <v>12</v>
      </c>
      <c r="C13" s="4">
        <v>40000</v>
      </c>
      <c r="D13" s="4" t="s">
        <v>17</v>
      </c>
      <c r="E13" s="67">
        <v>45000</v>
      </c>
    </row>
    <row r="14" spans="1:5" ht="15">
      <c r="A14" s="4">
        <v>8</v>
      </c>
      <c r="B14" s="4" t="s">
        <v>80</v>
      </c>
      <c r="C14" s="4">
        <v>20000</v>
      </c>
      <c r="D14" s="4" t="s">
        <v>81</v>
      </c>
      <c r="E14" s="67">
        <v>27000</v>
      </c>
    </row>
    <row r="15" spans="1:5" ht="15">
      <c r="A15" s="4">
        <v>9</v>
      </c>
      <c r="B15" s="4" t="s">
        <v>193</v>
      </c>
      <c r="C15" s="4">
        <v>40000</v>
      </c>
      <c r="D15" s="4" t="s">
        <v>18</v>
      </c>
      <c r="E15" s="67">
        <v>0</v>
      </c>
    </row>
    <row r="16" spans="1:5" ht="15">
      <c r="A16" s="4"/>
      <c r="B16" s="5" t="s">
        <v>36</v>
      </c>
      <c r="C16" s="5">
        <f>SUM(C12:C15)</f>
        <v>200000</v>
      </c>
      <c r="D16" s="4"/>
      <c r="E16" s="68">
        <v>172300</v>
      </c>
    </row>
    <row r="17" spans="1:4" ht="15">
      <c r="A17" s="4"/>
      <c r="B17" s="5"/>
      <c r="C17" s="5"/>
      <c r="D17" s="4"/>
    </row>
    <row r="18" spans="1:4" ht="15">
      <c r="A18" s="4"/>
      <c r="B18" s="4" t="s">
        <v>148</v>
      </c>
      <c r="C18" s="4"/>
      <c r="D18" s="4"/>
    </row>
    <row r="19" spans="1:5" ht="15">
      <c r="A19" s="4">
        <v>10</v>
      </c>
      <c r="B19" s="4" t="s">
        <v>14</v>
      </c>
      <c r="C19" s="4">
        <v>12000</v>
      </c>
      <c r="D19" s="4" t="s">
        <v>16</v>
      </c>
      <c r="E19" s="67">
        <v>0</v>
      </c>
    </row>
    <row r="20" spans="1:5" ht="15">
      <c r="A20" s="4">
        <v>11</v>
      </c>
      <c r="B20" s="4" t="s">
        <v>13</v>
      </c>
      <c r="C20" s="4">
        <v>20000</v>
      </c>
      <c r="D20" s="4" t="s">
        <v>15</v>
      </c>
      <c r="E20" s="67">
        <v>8475</v>
      </c>
    </row>
    <row r="21" spans="1:5" ht="15">
      <c r="A21" s="4">
        <v>12</v>
      </c>
      <c r="B21" s="4" t="s">
        <v>22</v>
      </c>
      <c r="C21" s="4">
        <v>7000</v>
      </c>
      <c r="D21" s="4" t="s">
        <v>19</v>
      </c>
      <c r="E21" s="67">
        <v>6900</v>
      </c>
    </row>
    <row r="22" spans="1:5" ht="15">
      <c r="A22" s="4"/>
      <c r="B22" s="5" t="s">
        <v>71</v>
      </c>
      <c r="C22" s="5">
        <f>SUM(C19:C21)</f>
        <v>39000</v>
      </c>
      <c r="D22" s="4"/>
      <c r="E22" s="68">
        <v>15375</v>
      </c>
    </row>
    <row r="23" spans="1:4" ht="15">
      <c r="A23" s="4"/>
      <c r="D23" s="4"/>
    </row>
    <row r="24" spans="1:4" ht="15">
      <c r="A24" s="4"/>
      <c r="B24" s="4" t="s">
        <v>149</v>
      </c>
      <c r="C24" s="4"/>
      <c r="D24" s="4"/>
    </row>
    <row r="25" spans="1:5" ht="15">
      <c r="A25" s="4">
        <v>13</v>
      </c>
      <c r="B25" s="4" t="s">
        <v>24</v>
      </c>
      <c r="C25" s="4">
        <v>110000</v>
      </c>
      <c r="D25" s="4" t="s">
        <v>21</v>
      </c>
      <c r="E25" s="67">
        <v>0</v>
      </c>
    </row>
    <row r="26" spans="1:5" ht="15">
      <c r="A26" s="4">
        <v>14</v>
      </c>
      <c r="B26" s="4" t="s">
        <v>23</v>
      </c>
      <c r="C26" s="4">
        <v>90000</v>
      </c>
      <c r="D26" s="4" t="s">
        <v>19</v>
      </c>
      <c r="E26" s="67">
        <v>0</v>
      </c>
    </row>
    <row r="27" spans="1:5" ht="15">
      <c r="A27" s="4">
        <v>15</v>
      </c>
      <c r="B27" s="4" t="s">
        <v>194</v>
      </c>
      <c r="C27" s="4">
        <v>40000</v>
      </c>
      <c r="D27" s="4" t="s">
        <v>18</v>
      </c>
      <c r="E27" s="67">
        <v>0</v>
      </c>
    </row>
    <row r="28" spans="1:5" ht="15">
      <c r="A28" s="4"/>
      <c r="B28" s="5" t="s">
        <v>37</v>
      </c>
      <c r="C28" s="5">
        <f>C25+C26</f>
        <v>200000</v>
      </c>
      <c r="D28" s="4"/>
      <c r="E28" s="68">
        <v>0</v>
      </c>
    </row>
    <row r="29" spans="1:4" ht="15">
      <c r="A29" s="4"/>
      <c r="B29" s="5"/>
      <c r="C29" s="5"/>
      <c r="D29" s="4"/>
    </row>
    <row r="30" spans="1:4" ht="15">
      <c r="A30" s="4"/>
      <c r="B30" s="4" t="s">
        <v>150</v>
      </c>
      <c r="C30" s="5"/>
      <c r="D30" s="4"/>
    </row>
    <row r="31" spans="1:5" ht="15">
      <c r="A31" s="4">
        <v>16</v>
      </c>
      <c r="B31" s="4" t="s">
        <v>188</v>
      </c>
      <c r="C31" s="5">
        <v>400000</v>
      </c>
      <c r="D31" s="4" t="s">
        <v>20</v>
      </c>
      <c r="E31" s="67">
        <v>370000</v>
      </c>
    </row>
    <row r="32" spans="1:5" ht="15">
      <c r="A32" s="4">
        <v>17</v>
      </c>
      <c r="B32" s="4" t="s">
        <v>189</v>
      </c>
      <c r="C32" s="5">
        <v>150000</v>
      </c>
      <c r="D32" s="4" t="s">
        <v>19</v>
      </c>
      <c r="E32" s="67">
        <v>0</v>
      </c>
    </row>
    <row r="33" spans="1:5" ht="15">
      <c r="A33" s="4"/>
      <c r="B33" s="5" t="s">
        <v>190</v>
      </c>
      <c r="C33" s="5">
        <f>C31+C32</f>
        <v>550000</v>
      </c>
      <c r="D33" s="4"/>
      <c r="E33" s="68">
        <v>370000</v>
      </c>
    </row>
    <row r="34" spans="1:4" ht="15">
      <c r="A34" s="4"/>
      <c r="B34" s="5"/>
      <c r="C34" s="5"/>
      <c r="D34" s="4"/>
    </row>
    <row r="35" spans="1:5" ht="15">
      <c r="A35" s="4"/>
      <c r="B35" s="6" t="s">
        <v>38</v>
      </c>
      <c r="C35" s="6">
        <f>C9+C16+C22+C28+C33</f>
        <v>1169000</v>
      </c>
      <c r="D35" s="4"/>
      <c r="E35" s="68">
        <v>586315</v>
      </c>
    </row>
    <row r="36" spans="2:3" ht="15" hidden="1">
      <c r="B36" t="s">
        <v>40</v>
      </c>
      <c r="C36">
        <v>8905.42</v>
      </c>
    </row>
    <row r="37" spans="2:3" ht="15" hidden="1">
      <c r="B37" t="s">
        <v>41</v>
      </c>
      <c r="C37" s="7">
        <f>C35/C36</f>
        <v>131.26837364211906</v>
      </c>
    </row>
    <row r="38" spans="2:3" ht="15" hidden="1">
      <c r="B38" t="s">
        <v>72</v>
      </c>
      <c r="C38" s="7">
        <f>C37/12</f>
        <v>10.939031136843255</v>
      </c>
    </row>
  </sheetData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workbookViewId="0" topLeftCell="A1">
      <selection activeCell="B3" sqref="B3"/>
    </sheetView>
  </sheetViews>
  <sheetFormatPr defaultColWidth="9.140625" defaultRowHeight="15"/>
  <cols>
    <col min="1" max="1" width="6.8515625" style="0" customWidth="1"/>
    <col min="2" max="2" width="74.421875" style="0" customWidth="1"/>
    <col min="3" max="3" width="17.421875" style="0" customWidth="1"/>
  </cols>
  <sheetData>
    <row r="1" ht="21">
      <c r="B1" s="25" t="s">
        <v>74</v>
      </c>
    </row>
    <row r="2" spans="1:3" ht="41.25" customHeight="1">
      <c r="A2" s="21" t="s">
        <v>0</v>
      </c>
      <c r="B2" s="21" t="s">
        <v>28</v>
      </c>
      <c r="C2" s="22" t="s">
        <v>29</v>
      </c>
    </row>
    <row r="3" spans="1:3" ht="21">
      <c r="A3" s="23">
        <v>1</v>
      </c>
      <c r="B3" s="23" t="s">
        <v>177</v>
      </c>
      <c r="C3" s="24" t="s">
        <v>30</v>
      </c>
    </row>
    <row r="4" spans="1:3" ht="21">
      <c r="A4" s="23">
        <v>2</v>
      </c>
      <c r="B4" s="23" t="s">
        <v>59</v>
      </c>
      <c r="C4" s="24" t="s">
        <v>31</v>
      </c>
    </row>
    <row r="5" spans="1:3" ht="21">
      <c r="A5" s="23">
        <v>3</v>
      </c>
      <c r="B5" s="23" t="s">
        <v>25</v>
      </c>
      <c r="C5" s="24" t="s">
        <v>30</v>
      </c>
    </row>
    <row r="6" spans="1:3" ht="21">
      <c r="A6" s="23">
        <v>4</v>
      </c>
      <c r="B6" s="23" t="s">
        <v>26</v>
      </c>
      <c r="C6" s="24" t="s">
        <v>32</v>
      </c>
    </row>
    <row r="7" spans="1:3" ht="21">
      <c r="A7" s="23">
        <v>5</v>
      </c>
      <c r="B7" s="23" t="s">
        <v>27</v>
      </c>
      <c r="C7" s="24" t="s">
        <v>33</v>
      </c>
    </row>
    <row r="8" spans="1:3" ht="21">
      <c r="A8" s="23">
        <v>6</v>
      </c>
      <c r="B8" s="23" t="s">
        <v>176</v>
      </c>
      <c r="C8" s="24" t="s">
        <v>34</v>
      </c>
    </row>
    <row r="9" spans="1:3" ht="21">
      <c r="A9" s="23">
        <v>7</v>
      </c>
      <c r="B9" s="23" t="s">
        <v>73</v>
      </c>
      <c r="C9" s="24" t="s">
        <v>32</v>
      </c>
    </row>
  </sheetData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</dc:creator>
  <cp:keywords/>
  <dc:description/>
  <cp:lastModifiedBy>tsg</cp:lastModifiedBy>
  <cp:lastPrinted>2022-03-28T08:30:04Z</cp:lastPrinted>
  <dcterms:created xsi:type="dcterms:W3CDTF">2019-02-21T07:36:32Z</dcterms:created>
  <dcterms:modified xsi:type="dcterms:W3CDTF">2022-03-29T09:47:38Z</dcterms:modified>
  <cp:category/>
  <cp:version/>
  <cp:contentType/>
  <cp:contentStatus/>
</cp:coreProperties>
</file>